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 codeName="{B6124F1A-AFFB-F854-7757-9A1D4C6FC43C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ivo\Downloads\"/>
    </mc:Choice>
  </mc:AlternateContent>
  <xr:revisionPtr revIDLastSave="0" documentId="13_ncr:1_{088EAF08-9FAD-43C1-88EB-107D70317ECB}" xr6:coauthVersionLast="47" xr6:coauthVersionMax="47" xr10:uidLastSave="{00000000-0000-0000-0000-000000000000}"/>
  <workbookProtection workbookAlgorithmName="SHA-512" workbookHashValue="bgwJmCMrieAzU/V342pkQismMpyrv22c9flWal6sHCZ71SLQTzYjtBX3Ej4dDAbXM67R6SMpsbKBhTpSjIqTdw==" workbookSaltValue="QzDkI2S6PeRqgt+dVMsyhw==" workbookSpinCount="100000" lockStructure="1"/>
  <bookViews>
    <workbookView xWindow="-28920" yWindow="-120" windowWidth="29040" windowHeight="15840" xr2:uid="{1B796347-362B-4479-921B-890630A0F5C5}"/>
  </bookViews>
  <sheets>
    <sheet name="Spring_Home" sheetId="3" r:id="rId1"/>
    <sheet name="X_Spring" sheetId="1" state="hidden" r:id="rId2"/>
    <sheet name="SpringCalculation" sheetId="4" state="hidden" r:id="rId3"/>
    <sheet name="Date" sheetId="6" state="hidden" r:id="rId4"/>
    <sheet name="Matrix" sheetId="5" state="hidden" r:id="rId5"/>
  </sheets>
  <definedNames>
    <definedName name="_xlnm._FilterDatabase" localSheetId="2" hidden="1">SpringCalculation!$A$25:$M$25</definedName>
    <definedName name="CORRECTION_FACTOR">X_Spring!$N$2</definedName>
    <definedName name="DH">Spring_Home!$D$6</definedName>
    <definedName name="Dim_shaft">SpringCalculation!$I$22</definedName>
    <definedName name="DW">Spring_Home!$D$5</definedName>
    <definedName name="ERROR">"NOT POSSIBLE"</definedName>
    <definedName name="KabelX">X_Spring!$N$27</definedName>
    <definedName name="KG">Spring_Home!$D$7</definedName>
    <definedName name="KG_MAX">X_Spring!$N$5</definedName>
    <definedName name="KG_MAX_FACTOR">X_Spring!$N$3</definedName>
    <definedName name="Lifetime">Spring_Home!$D$20</definedName>
    <definedName name="NOSP">"NO SPRING!"</definedName>
    <definedName name="RESULT_ID">X_Spring!$K$9</definedName>
    <definedName name="SC_DH" localSheetId="2">SpringCalculation!$C$2</definedName>
    <definedName name="SC_DW" localSheetId="2">SpringCalculation!$C$4</definedName>
    <definedName name="SC_HMA">SpringCalculation!$G$5</definedName>
    <definedName name="SC_HMT">SpringCalculation!$C$11</definedName>
    <definedName name="SC_LMT">SpringCalculation!$C$12</definedName>
    <definedName name="SC_LT" localSheetId="2">SpringCalculation!$C$8</definedName>
    <definedName name="SC_LT_TABLE">SpringCalculation!$C$159:$E$262</definedName>
    <definedName name="SC_NOCUTDW" localSheetId="2">SpringCalculation!$G$17</definedName>
    <definedName name="SC_RDT">SpringCalculation!$C$15</definedName>
    <definedName name="SC_RESULT_BUILD" localSheetId="2">SpringCalculation!$O$22</definedName>
    <definedName name="SC_RESULT_ELT" localSheetId="2">SpringCalculation!$O$20</definedName>
    <definedName name="SC_RESULT_ITEM">SpringCalculation!$O$17</definedName>
    <definedName name="SC_RESULT_MASS" localSheetId="2">SpringCalculation!$O$23</definedName>
    <definedName name="SC_RESULT_MAX">SpringCalculation!$C$17</definedName>
    <definedName name="SC_RESULT_MINDW" localSheetId="2">SpringCalculation!$O$21</definedName>
    <definedName name="SC_RESULT_QTY" localSheetId="2">SpringCalculation!$O$18</definedName>
    <definedName name="SC_RESULT_RST" localSheetId="2">SpringCalculation!$O$19</definedName>
    <definedName name="SC_SBD">SpringCalculation!$G$13</definedName>
    <definedName name="SC_TABLE">SpringCalculation!$B$26:$V$155</definedName>
    <definedName name="SC_TOL_MIN">SpringCalculation!$G$15</definedName>
    <definedName name="SC_TOL_PLUS">SpringCalculation!$G$14</definedName>
    <definedName name="SC_W" localSheetId="2">SpringCalculation!$C$6</definedName>
    <definedName name="Sp_qty">SpringCalculation!$Q$17</definedName>
    <definedName name="VEERWEG">X_Spring!$K$5</definedName>
    <definedName name="VeerX">X_Spring!$K$10</definedName>
    <definedName name="VOETJE">X_Spring!$K$4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3" l="1"/>
  <c r="D14" i="3"/>
  <c r="I39" i="3"/>
  <c r="B129" i="5" l="1"/>
  <c r="B130" i="5" s="1"/>
  <c r="B131" i="5" s="1"/>
  <c r="B132" i="5" s="1"/>
  <c r="B133" i="5" s="1"/>
  <c r="B126" i="5"/>
  <c r="B127" i="5" s="1"/>
  <c r="B128" i="5" s="1"/>
  <c r="B84" i="5"/>
  <c r="B85" i="5"/>
  <c r="B86" i="5"/>
  <c r="B87" i="5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5" i="6"/>
  <c r="B2" i="6"/>
  <c r="B7" i="6" s="1"/>
  <c r="F5" i="3" s="1"/>
  <c r="F7" i="3" l="1"/>
  <c r="F6" i="3"/>
  <c r="BT1" i="5"/>
  <c r="D2" i="5"/>
  <c r="E2" i="5" s="1"/>
  <c r="F2" i="5" s="1"/>
  <c r="G2" i="5" s="1"/>
  <c r="H2" i="5" s="1"/>
  <c r="I2" i="5" s="1"/>
  <c r="J2" i="5" s="1"/>
  <c r="K2" i="5" s="1"/>
  <c r="L2" i="5" s="1"/>
  <c r="M2" i="5" s="1"/>
  <c r="N2" i="5" s="1"/>
  <c r="O2" i="5" s="1"/>
  <c r="P2" i="5" s="1"/>
  <c r="Q2" i="5" s="1"/>
  <c r="R2" i="5" s="1"/>
  <c r="S2" i="5" s="1"/>
  <c r="T2" i="5" s="1"/>
  <c r="U2" i="5" s="1"/>
  <c r="V2" i="5" s="1"/>
  <c r="W2" i="5" s="1"/>
  <c r="X2" i="5" s="1"/>
  <c r="Y2" i="5" s="1"/>
  <c r="Z2" i="5" s="1"/>
  <c r="AA2" i="5" s="1"/>
  <c r="AB2" i="5" s="1"/>
  <c r="AC2" i="5" s="1"/>
  <c r="AD2" i="5" s="1"/>
  <c r="AE2" i="5" s="1"/>
  <c r="AF2" i="5" s="1"/>
  <c r="AG2" i="5" s="1"/>
  <c r="AH2" i="5" s="1"/>
  <c r="AI2" i="5" s="1"/>
  <c r="AJ2" i="5" s="1"/>
  <c r="AK2" i="5" s="1"/>
  <c r="AL2" i="5" s="1"/>
  <c r="AM2" i="5" s="1"/>
  <c r="AN2" i="5" s="1"/>
  <c r="AO2" i="5" s="1"/>
  <c r="AP2" i="5" s="1"/>
  <c r="AQ2" i="5" s="1"/>
  <c r="AR2" i="5" s="1"/>
  <c r="AS2" i="5" s="1"/>
  <c r="AT2" i="5" s="1"/>
  <c r="AU2" i="5" s="1"/>
  <c r="AV2" i="5" s="1"/>
  <c r="AW2" i="5" s="1"/>
  <c r="AX2" i="5" s="1"/>
  <c r="AY2" i="5" s="1"/>
  <c r="AZ2" i="5" s="1"/>
  <c r="BA2" i="5" s="1"/>
  <c r="BB2" i="5" s="1"/>
  <c r="BC2" i="5" s="1"/>
  <c r="BD2" i="5" s="1"/>
  <c r="BE2" i="5" s="1"/>
  <c r="BF2" i="5" s="1"/>
  <c r="BG2" i="5" s="1"/>
  <c r="BH2" i="5" s="1"/>
  <c r="BI2" i="5" s="1"/>
  <c r="BJ2" i="5" s="1"/>
  <c r="BK2" i="5" s="1"/>
  <c r="BL2" i="5" s="1"/>
  <c r="BM2" i="5" s="1"/>
  <c r="BN2" i="5" s="1"/>
  <c r="BO2" i="5" s="1"/>
  <c r="BP2" i="5" s="1"/>
  <c r="BQ2" i="5" s="1"/>
  <c r="BR2" i="5" s="1"/>
  <c r="BS2" i="5" s="1"/>
  <c r="BT2" i="5" s="1"/>
  <c r="B5" i="5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4" i="5"/>
  <c r="I21" i="4"/>
  <c r="I19" i="4"/>
  <c r="I20" i="4"/>
  <c r="O15" i="4" l="1"/>
  <c r="O16" i="4" s="1"/>
  <c r="B27" i="3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J155" i="4"/>
  <c r="I155" i="4"/>
  <c r="J154" i="4"/>
  <c r="I154" i="4"/>
  <c r="J153" i="4"/>
  <c r="I153" i="4"/>
  <c r="J152" i="4"/>
  <c r="I152" i="4"/>
  <c r="J151" i="4"/>
  <c r="I151" i="4"/>
  <c r="J150" i="4"/>
  <c r="I150" i="4"/>
  <c r="J149" i="4"/>
  <c r="I149" i="4"/>
  <c r="J148" i="4"/>
  <c r="I148" i="4"/>
  <c r="J147" i="4"/>
  <c r="I147" i="4"/>
  <c r="J146" i="4"/>
  <c r="I146" i="4"/>
  <c r="J145" i="4"/>
  <c r="I145" i="4"/>
  <c r="J144" i="4"/>
  <c r="I144" i="4"/>
  <c r="J143" i="4"/>
  <c r="I143" i="4"/>
  <c r="J142" i="4"/>
  <c r="I142" i="4"/>
  <c r="J141" i="4"/>
  <c r="I141" i="4"/>
  <c r="J140" i="4"/>
  <c r="I140" i="4"/>
  <c r="J139" i="4"/>
  <c r="I139" i="4"/>
  <c r="J138" i="4"/>
  <c r="I138" i="4"/>
  <c r="J137" i="4"/>
  <c r="I137" i="4"/>
  <c r="J136" i="4"/>
  <c r="I136" i="4"/>
  <c r="J135" i="4"/>
  <c r="I135" i="4"/>
  <c r="J134" i="4"/>
  <c r="I134" i="4"/>
  <c r="J133" i="4"/>
  <c r="I133" i="4"/>
  <c r="J132" i="4"/>
  <c r="I132" i="4"/>
  <c r="J131" i="4"/>
  <c r="I131" i="4"/>
  <c r="J130" i="4"/>
  <c r="I130" i="4"/>
  <c r="J129" i="4"/>
  <c r="I129" i="4"/>
  <c r="J128" i="4"/>
  <c r="I128" i="4"/>
  <c r="J127" i="4"/>
  <c r="I127" i="4"/>
  <c r="J126" i="4"/>
  <c r="I126" i="4"/>
  <c r="J125" i="4"/>
  <c r="I125" i="4"/>
  <c r="J124" i="4"/>
  <c r="I124" i="4"/>
  <c r="F123" i="4"/>
  <c r="E123" i="4"/>
  <c r="J123" i="4" s="1"/>
  <c r="D123" i="4"/>
  <c r="F122" i="4"/>
  <c r="E122" i="4"/>
  <c r="D122" i="4"/>
  <c r="F121" i="4"/>
  <c r="E121" i="4"/>
  <c r="J121" i="4" s="1"/>
  <c r="D121" i="4"/>
  <c r="F120" i="4"/>
  <c r="E120" i="4"/>
  <c r="J120" i="4" s="1"/>
  <c r="D120" i="4"/>
  <c r="F119" i="4"/>
  <c r="E119" i="4"/>
  <c r="J119" i="4" s="1"/>
  <c r="D119" i="4"/>
  <c r="F118" i="4"/>
  <c r="E118" i="4"/>
  <c r="D118" i="4"/>
  <c r="F117" i="4"/>
  <c r="E117" i="4"/>
  <c r="D117" i="4"/>
  <c r="F116" i="4"/>
  <c r="E116" i="4"/>
  <c r="D116" i="4"/>
  <c r="F115" i="4"/>
  <c r="E115" i="4"/>
  <c r="D115" i="4"/>
  <c r="F114" i="4"/>
  <c r="E114" i="4"/>
  <c r="J114" i="4" s="1"/>
  <c r="D114" i="4"/>
  <c r="F113" i="4"/>
  <c r="E113" i="4"/>
  <c r="J113" i="4" s="1"/>
  <c r="D113" i="4"/>
  <c r="F112" i="4"/>
  <c r="E112" i="4"/>
  <c r="J112" i="4" s="1"/>
  <c r="D112" i="4"/>
  <c r="F111" i="4"/>
  <c r="E111" i="4"/>
  <c r="D111" i="4"/>
  <c r="F110" i="4"/>
  <c r="E110" i="4"/>
  <c r="J110" i="4" s="1"/>
  <c r="D110" i="4"/>
  <c r="F109" i="4"/>
  <c r="E109" i="4"/>
  <c r="J109" i="4" s="1"/>
  <c r="D109" i="4"/>
  <c r="F108" i="4"/>
  <c r="E108" i="4"/>
  <c r="J108" i="4" s="1"/>
  <c r="D108" i="4"/>
  <c r="F107" i="4"/>
  <c r="E107" i="4"/>
  <c r="D107" i="4"/>
  <c r="F106" i="4"/>
  <c r="E106" i="4"/>
  <c r="J106" i="4" s="1"/>
  <c r="D106" i="4"/>
  <c r="F105" i="4"/>
  <c r="E105" i="4"/>
  <c r="J105" i="4" s="1"/>
  <c r="D105" i="4"/>
  <c r="F104" i="4"/>
  <c r="E104" i="4"/>
  <c r="J104" i="4" s="1"/>
  <c r="D104" i="4"/>
  <c r="F103" i="4"/>
  <c r="E103" i="4"/>
  <c r="J103" i="4" s="1"/>
  <c r="D103" i="4"/>
  <c r="F102" i="4"/>
  <c r="E102" i="4"/>
  <c r="J102" i="4" s="1"/>
  <c r="D102" i="4"/>
  <c r="F101" i="4"/>
  <c r="E101" i="4"/>
  <c r="D101" i="4"/>
  <c r="F100" i="4"/>
  <c r="E100" i="4"/>
  <c r="D100" i="4"/>
  <c r="F99" i="4"/>
  <c r="E99" i="4"/>
  <c r="D99" i="4"/>
  <c r="F98" i="4"/>
  <c r="E98" i="4"/>
  <c r="D98" i="4"/>
  <c r="F97" i="4"/>
  <c r="E97" i="4"/>
  <c r="D97" i="4"/>
  <c r="F96" i="4"/>
  <c r="E96" i="4"/>
  <c r="D96" i="4"/>
  <c r="F95" i="4"/>
  <c r="E95" i="4"/>
  <c r="J95" i="4" s="1"/>
  <c r="D95" i="4"/>
  <c r="F94" i="4"/>
  <c r="E94" i="4"/>
  <c r="J94" i="4" s="1"/>
  <c r="D94" i="4"/>
  <c r="F93" i="4"/>
  <c r="E93" i="4"/>
  <c r="J93" i="4" s="1"/>
  <c r="D93" i="4"/>
  <c r="F92" i="4"/>
  <c r="E92" i="4"/>
  <c r="D92" i="4"/>
  <c r="F91" i="4"/>
  <c r="E91" i="4"/>
  <c r="J91" i="4" s="1"/>
  <c r="D91" i="4"/>
  <c r="F90" i="4"/>
  <c r="E90" i="4"/>
  <c r="J90" i="4" s="1"/>
  <c r="D90" i="4"/>
  <c r="F89" i="4"/>
  <c r="E89" i="4"/>
  <c r="J89" i="4" s="1"/>
  <c r="D89" i="4"/>
  <c r="F88" i="4"/>
  <c r="E88" i="4"/>
  <c r="J88" i="4" s="1"/>
  <c r="D88" i="4"/>
  <c r="F87" i="4"/>
  <c r="E87" i="4"/>
  <c r="D87" i="4"/>
  <c r="F86" i="4"/>
  <c r="E86" i="4"/>
  <c r="J86" i="4" s="1"/>
  <c r="D86" i="4"/>
  <c r="F85" i="4"/>
  <c r="E85" i="4"/>
  <c r="D85" i="4"/>
  <c r="F84" i="4"/>
  <c r="E84" i="4"/>
  <c r="J84" i="4" s="1"/>
  <c r="D84" i="4"/>
  <c r="F83" i="4"/>
  <c r="E83" i="4"/>
  <c r="J83" i="4" s="1"/>
  <c r="D83" i="4"/>
  <c r="F82" i="4"/>
  <c r="E82" i="4"/>
  <c r="D82" i="4"/>
  <c r="F81" i="4"/>
  <c r="E81" i="4"/>
  <c r="D81" i="4"/>
  <c r="F80" i="4"/>
  <c r="E80" i="4"/>
  <c r="D80" i="4"/>
  <c r="F79" i="4"/>
  <c r="E79" i="4"/>
  <c r="D79" i="4"/>
  <c r="F78" i="4"/>
  <c r="E78" i="4"/>
  <c r="J78" i="4" s="1"/>
  <c r="D78" i="4"/>
  <c r="F77" i="4"/>
  <c r="E77" i="4"/>
  <c r="J77" i="4" s="1"/>
  <c r="D77" i="4"/>
  <c r="F76" i="4"/>
  <c r="E76" i="4"/>
  <c r="D76" i="4"/>
  <c r="F75" i="4"/>
  <c r="E75" i="4"/>
  <c r="D75" i="4"/>
  <c r="F74" i="4"/>
  <c r="E74" i="4"/>
  <c r="D74" i="4"/>
  <c r="F73" i="4"/>
  <c r="E73" i="4"/>
  <c r="J73" i="4" s="1"/>
  <c r="D73" i="4"/>
  <c r="F72" i="4"/>
  <c r="E72" i="4"/>
  <c r="D72" i="4"/>
  <c r="F71" i="4"/>
  <c r="E71" i="4"/>
  <c r="D71" i="4"/>
  <c r="F70" i="4"/>
  <c r="E70" i="4"/>
  <c r="J70" i="4" s="1"/>
  <c r="D70" i="4"/>
  <c r="F69" i="4"/>
  <c r="E69" i="4"/>
  <c r="J69" i="4" s="1"/>
  <c r="D69" i="4"/>
  <c r="F68" i="4"/>
  <c r="E68" i="4"/>
  <c r="J68" i="4" s="1"/>
  <c r="D68" i="4"/>
  <c r="F67" i="4"/>
  <c r="E67" i="4"/>
  <c r="J67" i="4" s="1"/>
  <c r="D67" i="4"/>
  <c r="F66" i="4"/>
  <c r="E66" i="4"/>
  <c r="J66" i="4" s="1"/>
  <c r="D66" i="4"/>
  <c r="F65" i="4"/>
  <c r="E65" i="4"/>
  <c r="D65" i="4"/>
  <c r="F64" i="4"/>
  <c r="E64" i="4"/>
  <c r="D64" i="4"/>
  <c r="F63" i="4"/>
  <c r="E63" i="4"/>
  <c r="D63" i="4"/>
  <c r="F62" i="4"/>
  <c r="E62" i="4"/>
  <c r="J62" i="4" s="1"/>
  <c r="D62" i="4"/>
  <c r="F61" i="4"/>
  <c r="E61" i="4"/>
  <c r="J61" i="4" s="1"/>
  <c r="D61" i="4"/>
  <c r="F60" i="4"/>
  <c r="E60" i="4"/>
  <c r="D60" i="4"/>
  <c r="F59" i="4"/>
  <c r="E59" i="4"/>
  <c r="J59" i="4" s="1"/>
  <c r="D59" i="4"/>
  <c r="F58" i="4"/>
  <c r="E58" i="4"/>
  <c r="J58" i="4" s="1"/>
  <c r="D58" i="4"/>
  <c r="F57" i="4"/>
  <c r="E57" i="4"/>
  <c r="D57" i="4"/>
  <c r="F56" i="4"/>
  <c r="E56" i="4"/>
  <c r="J56" i="4" s="1"/>
  <c r="D56" i="4"/>
  <c r="F55" i="4"/>
  <c r="E55" i="4"/>
  <c r="J55" i="4" s="1"/>
  <c r="D55" i="4"/>
  <c r="F54" i="4"/>
  <c r="E54" i="4"/>
  <c r="D54" i="4"/>
  <c r="F53" i="4"/>
  <c r="E53" i="4"/>
  <c r="J53" i="4" s="1"/>
  <c r="D53" i="4"/>
  <c r="F52" i="4"/>
  <c r="E52" i="4"/>
  <c r="D52" i="4"/>
  <c r="F51" i="4"/>
  <c r="E51" i="4"/>
  <c r="J51" i="4" s="1"/>
  <c r="D51" i="4"/>
  <c r="F50" i="4"/>
  <c r="E50" i="4"/>
  <c r="D50" i="4"/>
  <c r="F49" i="4"/>
  <c r="E49" i="4"/>
  <c r="D49" i="4"/>
  <c r="F48" i="4"/>
  <c r="E48" i="4"/>
  <c r="J48" i="4" s="1"/>
  <c r="D48" i="4"/>
  <c r="F47" i="4"/>
  <c r="E47" i="4"/>
  <c r="D47" i="4"/>
  <c r="F46" i="4"/>
  <c r="E46" i="4"/>
  <c r="J46" i="4" s="1"/>
  <c r="D46" i="4"/>
  <c r="F45" i="4"/>
  <c r="E45" i="4"/>
  <c r="J45" i="4" s="1"/>
  <c r="D45" i="4"/>
  <c r="F44" i="4"/>
  <c r="E44" i="4"/>
  <c r="D44" i="4"/>
  <c r="F43" i="4"/>
  <c r="E43" i="4"/>
  <c r="J43" i="4" s="1"/>
  <c r="D43" i="4"/>
  <c r="F42" i="4"/>
  <c r="E42" i="4"/>
  <c r="J42" i="4" s="1"/>
  <c r="D42" i="4"/>
  <c r="F41" i="4"/>
  <c r="E41" i="4"/>
  <c r="J41" i="4" s="1"/>
  <c r="D41" i="4"/>
  <c r="F40" i="4"/>
  <c r="E40" i="4"/>
  <c r="J40" i="4" s="1"/>
  <c r="D40" i="4"/>
  <c r="F39" i="4"/>
  <c r="E39" i="4"/>
  <c r="J39" i="4" s="1"/>
  <c r="D39" i="4"/>
  <c r="F38" i="4"/>
  <c r="E38" i="4"/>
  <c r="J38" i="4" s="1"/>
  <c r="D38" i="4"/>
  <c r="F37" i="4"/>
  <c r="E37" i="4"/>
  <c r="J37" i="4" s="1"/>
  <c r="D37" i="4"/>
  <c r="F36" i="4"/>
  <c r="E36" i="4"/>
  <c r="J36" i="4" s="1"/>
  <c r="D36" i="4"/>
  <c r="F35" i="4"/>
  <c r="E35" i="4"/>
  <c r="J35" i="4" s="1"/>
  <c r="D35" i="4"/>
  <c r="F34" i="4"/>
  <c r="E34" i="4"/>
  <c r="J34" i="4" s="1"/>
  <c r="D34" i="4"/>
  <c r="F33" i="4"/>
  <c r="E33" i="4"/>
  <c r="J33" i="4" s="1"/>
  <c r="D33" i="4"/>
  <c r="F32" i="4"/>
  <c r="E32" i="4"/>
  <c r="J32" i="4" s="1"/>
  <c r="D32" i="4"/>
  <c r="F31" i="4"/>
  <c r="E31" i="4"/>
  <c r="J31" i="4" s="1"/>
  <c r="D31" i="4"/>
  <c r="F30" i="4"/>
  <c r="E30" i="4"/>
  <c r="D30" i="4"/>
  <c r="F29" i="4"/>
  <c r="E29" i="4"/>
  <c r="J29" i="4" s="1"/>
  <c r="D29" i="4"/>
  <c r="F28" i="4"/>
  <c r="E28" i="4"/>
  <c r="D28" i="4"/>
  <c r="F27" i="4"/>
  <c r="E27" i="4"/>
  <c r="D27" i="4"/>
  <c r="F26" i="4"/>
  <c r="E26" i="4"/>
  <c r="D26" i="4"/>
  <c r="C21" i="4"/>
  <c r="G13" i="4"/>
  <c r="G7" i="4"/>
  <c r="C6" i="4"/>
  <c r="L4" i="4"/>
  <c r="G6" i="4" s="1"/>
  <c r="K4" i="4"/>
  <c r="G5" i="4" s="1"/>
  <c r="C4" i="4"/>
  <c r="L3" i="4"/>
  <c r="K3" i="4"/>
  <c r="C2" i="4"/>
  <c r="N37" i="1"/>
  <c r="N36" i="1"/>
  <c r="N35" i="1"/>
  <c r="N34" i="1"/>
  <c r="N33" i="1"/>
  <c r="N32" i="1"/>
  <c r="N31" i="1"/>
  <c r="N30" i="1"/>
  <c r="N29" i="1"/>
  <c r="N28" i="1"/>
  <c r="J19" i="1"/>
  <c r="J18" i="1"/>
  <c r="J16" i="1"/>
  <c r="J15" i="1"/>
  <c r="J14" i="1"/>
  <c r="E12" i="1"/>
  <c r="E10" i="1"/>
  <c r="E8" i="1"/>
  <c r="E6" i="1"/>
  <c r="N5" i="1"/>
  <c r="K5" i="1"/>
  <c r="G31" i="1" s="1"/>
  <c r="F36" i="1"/>
  <c r="E4" i="1"/>
  <c r="K3" i="1"/>
  <c r="K2" i="1"/>
  <c r="K18" i="1"/>
  <c r="C8" i="4" l="1"/>
  <c r="I60" i="4"/>
  <c r="G109" i="4"/>
  <c r="G93" i="4"/>
  <c r="G96" i="4"/>
  <c r="H96" i="4" s="1"/>
  <c r="I118" i="4"/>
  <c r="G90" i="4"/>
  <c r="H90" i="4" s="1"/>
  <c r="G78" i="4"/>
  <c r="H78" i="4" s="1"/>
  <c r="G97" i="4"/>
  <c r="H97" i="4" s="1"/>
  <c r="G8" i="4"/>
  <c r="I46" i="4"/>
  <c r="G75" i="4"/>
  <c r="H75" i="4" s="1"/>
  <c r="G82" i="4"/>
  <c r="H82" i="4" s="1"/>
  <c r="G47" i="4"/>
  <c r="H47" i="4" s="1"/>
  <c r="I30" i="4"/>
  <c r="I70" i="4"/>
  <c r="G70" i="4"/>
  <c r="H70" i="4" s="1"/>
  <c r="G105" i="4"/>
  <c r="H105" i="4" s="1"/>
  <c r="G114" i="4"/>
  <c r="H114" i="4" s="1"/>
  <c r="G101" i="4"/>
  <c r="G26" i="4"/>
  <c r="H26" i="4" s="1"/>
  <c r="I38" i="4"/>
  <c r="J101" i="4"/>
  <c r="G119" i="4"/>
  <c r="H119" i="4" s="1"/>
  <c r="G123" i="4"/>
  <c r="H123" i="4" s="1"/>
  <c r="G113" i="4"/>
  <c r="H113" i="4" s="1"/>
  <c r="G60" i="4"/>
  <c r="H60" i="4" s="1"/>
  <c r="K60" i="4" s="1"/>
  <c r="G64" i="4"/>
  <c r="G35" i="4"/>
  <c r="H35" i="4" s="1"/>
  <c r="G69" i="4"/>
  <c r="L69" i="4" s="1"/>
  <c r="G49" i="4"/>
  <c r="H49" i="4" s="1"/>
  <c r="I93" i="4"/>
  <c r="G29" i="4"/>
  <c r="L29" i="4" s="1"/>
  <c r="G39" i="4"/>
  <c r="L39" i="4" s="1"/>
  <c r="G50" i="4"/>
  <c r="L50" i="4" s="1"/>
  <c r="G54" i="4"/>
  <c r="H54" i="4" s="1"/>
  <c r="I108" i="4"/>
  <c r="G32" i="4"/>
  <c r="H32" i="4" s="1"/>
  <c r="I68" i="4"/>
  <c r="G98" i="4"/>
  <c r="H98" i="4" s="1"/>
  <c r="I110" i="4"/>
  <c r="I114" i="4"/>
  <c r="I26" i="4"/>
  <c r="G120" i="4"/>
  <c r="L120" i="4" s="1"/>
  <c r="G84" i="4"/>
  <c r="L84" i="4" s="1"/>
  <c r="G30" i="4"/>
  <c r="H30" i="4" s="1"/>
  <c r="I54" i="4"/>
  <c r="G72" i="4"/>
  <c r="L72" i="4" s="1"/>
  <c r="G62" i="4"/>
  <c r="H62" i="4" s="1"/>
  <c r="L109" i="4"/>
  <c r="G51" i="4"/>
  <c r="H51" i="4" s="1"/>
  <c r="G79" i="4"/>
  <c r="L79" i="4" s="1"/>
  <c r="G94" i="4"/>
  <c r="H94" i="4" s="1"/>
  <c r="I106" i="4"/>
  <c r="G116" i="4"/>
  <c r="H116" i="4" s="1"/>
  <c r="I122" i="4"/>
  <c r="I51" i="4"/>
  <c r="I94" i="4"/>
  <c r="J118" i="4"/>
  <c r="G86" i="4"/>
  <c r="L86" i="4" s="1"/>
  <c r="I64" i="4"/>
  <c r="I77" i="4"/>
  <c r="I83" i="4"/>
  <c r="I86" i="4"/>
  <c r="J26" i="4"/>
  <c r="I36" i="4"/>
  <c r="G55" i="4"/>
  <c r="H55" i="4" s="1"/>
  <c r="I58" i="4"/>
  <c r="I61" i="4"/>
  <c r="I91" i="4"/>
  <c r="G110" i="4"/>
  <c r="L110" i="4" s="1"/>
  <c r="G36" i="4"/>
  <c r="H36" i="4" s="1"/>
  <c r="I84" i="4"/>
  <c r="G66" i="4"/>
  <c r="H66" i="4" s="1"/>
  <c r="G115" i="4"/>
  <c r="H115" i="4" s="1"/>
  <c r="I27" i="4"/>
  <c r="I34" i="4"/>
  <c r="I99" i="4"/>
  <c r="I103" i="4"/>
  <c r="G42" i="4"/>
  <c r="H42" i="4" s="1"/>
  <c r="G68" i="4"/>
  <c r="H68" i="4" s="1"/>
  <c r="I71" i="4"/>
  <c r="G87" i="4"/>
  <c r="H87" i="4" s="1"/>
  <c r="I96" i="4"/>
  <c r="I117" i="4"/>
  <c r="J96" i="4"/>
  <c r="J99" i="4"/>
  <c r="I102" i="4"/>
  <c r="J50" i="4"/>
  <c r="I56" i="4"/>
  <c r="J71" i="4"/>
  <c r="I109" i="4"/>
  <c r="J117" i="4"/>
  <c r="G28" i="4"/>
  <c r="H28" i="4" s="1"/>
  <c r="L32" i="4"/>
  <c r="I43" i="4"/>
  <c r="G80" i="4"/>
  <c r="L80" i="4" s="1"/>
  <c r="I112" i="4"/>
  <c r="J116" i="4"/>
  <c r="I123" i="4"/>
  <c r="J54" i="4"/>
  <c r="I41" i="4"/>
  <c r="L78" i="4"/>
  <c r="I88" i="4"/>
  <c r="C23" i="4"/>
  <c r="C11" i="4"/>
  <c r="J27" i="4"/>
  <c r="I42" i="4"/>
  <c r="I50" i="4"/>
  <c r="G59" i="4"/>
  <c r="H59" i="4" s="1"/>
  <c r="J49" i="4"/>
  <c r="L49" i="4"/>
  <c r="J76" i="4"/>
  <c r="I76" i="4"/>
  <c r="I32" i="4"/>
  <c r="K32" i="4" s="1"/>
  <c r="G43" i="4"/>
  <c r="J44" i="4"/>
  <c r="G44" i="4"/>
  <c r="H44" i="4" s="1"/>
  <c r="J47" i="4"/>
  <c r="G48" i="4"/>
  <c r="H48" i="4" s="1"/>
  <c r="I35" i="4"/>
  <c r="I39" i="4"/>
  <c r="I45" i="4"/>
  <c r="I48" i="4"/>
  <c r="I49" i="4"/>
  <c r="K49" i="4" s="1"/>
  <c r="G56" i="4"/>
  <c r="G45" i="4"/>
  <c r="H45" i="4" s="1"/>
  <c r="G46" i="4"/>
  <c r="I28" i="4"/>
  <c r="J30" i="4"/>
  <c r="I44" i="4"/>
  <c r="I47" i="4"/>
  <c r="I53" i="4"/>
  <c r="J28" i="4"/>
  <c r="G31" i="4"/>
  <c r="H31" i="4" s="1"/>
  <c r="C10" i="4"/>
  <c r="C12" i="4" s="1"/>
  <c r="I29" i="4"/>
  <c r="G53" i="4"/>
  <c r="H53" i="4" s="1"/>
  <c r="G9" i="4"/>
  <c r="G27" i="4"/>
  <c r="I31" i="4"/>
  <c r="G33" i="4"/>
  <c r="H33" i="4" s="1"/>
  <c r="G37" i="4"/>
  <c r="H37" i="4" s="1"/>
  <c r="G40" i="4"/>
  <c r="H40" i="4" s="1"/>
  <c r="J52" i="4"/>
  <c r="I52" i="4"/>
  <c r="I66" i="4"/>
  <c r="F6" i="1"/>
  <c r="I33" i="4"/>
  <c r="G34" i="4"/>
  <c r="I37" i="4"/>
  <c r="G38" i="4"/>
  <c r="I40" i="4"/>
  <c r="G41" i="4"/>
  <c r="G61" i="4"/>
  <c r="H61" i="4" s="1"/>
  <c r="I69" i="4"/>
  <c r="I63" i="4"/>
  <c r="L64" i="4"/>
  <c r="I65" i="4"/>
  <c r="H93" i="4"/>
  <c r="I98" i="4"/>
  <c r="K98" i="4" s="1"/>
  <c r="L98" i="4"/>
  <c r="G108" i="4"/>
  <c r="H108" i="4" s="1"/>
  <c r="J111" i="4"/>
  <c r="I111" i="4"/>
  <c r="I59" i="4"/>
  <c r="J60" i="4"/>
  <c r="J63" i="4"/>
  <c r="J65" i="4"/>
  <c r="H64" i="4"/>
  <c r="J74" i="4"/>
  <c r="G83" i="4"/>
  <c r="H101" i="4"/>
  <c r="G111" i="4"/>
  <c r="H111" i="4" s="1"/>
  <c r="I57" i="4"/>
  <c r="G74" i="4"/>
  <c r="H74" i="4" s="1"/>
  <c r="I79" i="4"/>
  <c r="G52" i="4"/>
  <c r="G57" i="4"/>
  <c r="J64" i="4"/>
  <c r="G67" i="4"/>
  <c r="H67" i="4" s="1"/>
  <c r="G73" i="4"/>
  <c r="I74" i="4"/>
  <c r="J79" i="4"/>
  <c r="G92" i="4"/>
  <c r="H92" i="4" s="1"/>
  <c r="I97" i="4"/>
  <c r="K97" i="4" s="1"/>
  <c r="J97" i="4"/>
  <c r="J98" i="4"/>
  <c r="I100" i="4"/>
  <c r="G104" i="4"/>
  <c r="H104" i="4" s="1"/>
  <c r="I55" i="4"/>
  <c r="J57" i="4"/>
  <c r="I67" i="4"/>
  <c r="G71" i="4"/>
  <c r="I73" i="4"/>
  <c r="G76" i="4"/>
  <c r="H76" i="4" s="1"/>
  <c r="I78" i="4"/>
  <c r="K78" i="4" s="1"/>
  <c r="J81" i="4"/>
  <c r="J75" i="4"/>
  <c r="I75" i="4"/>
  <c r="G81" i="4"/>
  <c r="H81" i="4" s="1"/>
  <c r="J100" i="4"/>
  <c r="G112" i="4"/>
  <c r="G58" i="4"/>
  <c r="H58" i="4" s="1"/>
  <c r="K70" i="4"/>
  <c r="I81" i="4"/>
  <c r="J85" i="4"/>
  <c r="I85" i="4"/>
  <c r="G85" i="4"/>
  <c r="H85" i="4" s="1"/>
  <c r="L97" i="4"/>
  <c r="G88" i="4"/>
  <c r="G91" i="4"/>
  <c r="I62" i="4"/>
  <c r="G63" i="4"/>
  <c r="G65" i="4"/>
  <c r="H65" i="4" s="1"/>
  <c r="I80" i="4"/>
  <c r="J80" i="4"/>
  <c r="G99" i="4"/>
  <c r="G103" i="4"/>
  <c r="J72" i="4"/>
  <c r="I72" i="4"/>
  <c r="G77" i="4"/>
  <c r="I89" i="4"/>
  <c r="I95" i="4"/>
  <c r="G95" i="4"/>
  <c r="J82" i="4"/>
  <c r="I82" i="4"/>
  <c r="I87" i="4"/>
  <c r="L93" i="4"/>
  <c r="G107" i="4"/>
  <c r="H107" i="4" s="1"/>
  <c r="J87" i="4"/>
  <c r="J92" i="4"/>
  <c r="L70" i="4"/>
  <c r="I92" i="4"/>
  <c r="G100" i="4"/>
  <c r="H100" i="4" s="1"/>
  <c r="L101" i="4"/>
  <c r="G106" i="4"/>
  <c r="H106" i="4" s="1"/>
  <c r="J107" i="4"/>
  <c r="J115" i="4"/>
  <c r="I115" i="4"/>
  <c r="G89" i="4"/>
  <c r="H89" i="4" s="1"/>
  <c r="G102" i="4"/>
  <c r="I107" i="4"/>
  <c r="G122" i="4"/>
  <c r="H122" i="4" s="1"/>
  <c r="H109" i="4"/>
  <c r="I104" i="4"/>
  <c r="I113" i="4"/>
  <c r="K113" i="4" s="1"/>
  <c r="G118" i="4"/>
  <c r="H120" i="4"/>
  <c r="I90" i="4"/>
  <c r="I101" i="4"/>
  <c r="I105" i="4"/>
  <c r="G117" i="4"/>
  <c r="G121" i="4"/>
  <c r="J122" i="4"/>
  <c r="I116" i="4"/>
  <c r="K116" i="4" s="1"/>
  <c r="I121" i="4"/>
  <c r="L119" i="4"/>
  <c r="I119" i="4"/>
  <c r="I120" i="4"/>
  <c r="G6" i="1"/>
  <c r="F2" i="1"/>
  <c r="F10" i="1"/>
  <c r="G4" i="1"/>
  <c r="G27" i="1"/>
  <c r="G12" i="1"/>
  <c r="G29" i="1"/>
  <c r="G13" i="1"/>
  <c r="G2" i="1"/>
  <c r="F7" i="1"/>
  <c r="G22" i="1"/>
  <c r="G3" i="1"/>
  <c r="G9" i="1"/>
  <c r="G23" i="1"/>
  <c r="G26" i="1"/>
  <c r="F12" i="1"/>
  <c r="F22" i="1"/>
  <c r="F26" i="1"/>
  <c r="F29" i="1"/>
  <c r="G36" i="1"/>
  <c r="F39" i="1"/>
  <c r="F43" i="1"/>
  <c r="F47" i="1"/>
  <c r="F51" i="1"/>
  <c r="M31" i="1"/>
  <c r="F34" i="1"/>
  <c r="G39" i="1"/>
  <c r="G43" i="1"/>
  <c r="G47" i="1"/>
  <c r="G51" i="1"/>
  <c r="F16" i="1"/>
  <c r="F19" i="1"/>
  <c r="G34" i="1"/>
  <c r="M36" i="1"/>
  <c r="F4" i="1"/>
  <c r="F13" i="1"/>
  <c r="G16" i="1"/>
  <c r="G19" i="1"/>
  <c r="F23" i="1"/>
  <c r="F27" i="1"/>
  <c r="M29" i="1"/>
  <c r="F32" i="1"/>
  <c r="F40" i="1"/>
  <c r="F44" i="1"/>
  <c r="F48" i="1"/>
  <c r="F52" i="1"/>
  <c r="G32" i="1"/>
  <c r="M34" i="1"/>
  <c r="F37" i="1"/>
  <c r="G40" i="1"/>
  <c r="G44" i="1"/>
  <c r="G48" i="1"/>
  <c r="G52" i="1"/>
  <c r="G7" i="1"/>
  <c r="G10" i="1"/>
  <c r="F30" i="1"/>
  <c r="G37" i="1"/>
  <c r="F14" i="1"/>
  <c r="F17" i="1"/>
  <c r="F20" i="1"/>
  <c r="F24" i="1"/>
  <c r="G30" i="1"/>
  <c r="M32" i="1"/>
  <c r="F35" i="1"/>
  <c r="F41" i="1"/>
  <c r="F45" i="1"/>
  <c r="F49" i="1"/>
  <c r="F53" i="1"/>
  <c r="F5" i="1"/>
  <c r="G14" i="1"/>
  <c r="G17" i="1"/>
  <c r="G20" i="1"/>
  <c r="G24" i="1"/>
  <c r="F28" i="1"/>
  <c r="G35" i="1"/>
  <c r="M37" i="1"/>
  <c r="G41" i="1"/>
  <c r="G45" i="1"/>
  <c r="G49" i="1"/>
  <c r="G53" i="1"/>
  <c r="G5" i="1"/>
  <c r="F8" i="1"/>
  <c r="F11" i="1"/>
  <c r="G28" i="1"/>
  <c r="M30" i="1"/>
  <c r="F33" i="1"/>
  <c r="G8" i="1"/>
  <c r="G11" i="1"/>
  <c r="F18" i="1"/>
  <c r="F21" i="1"/>
  <c r="F25" i="1"/>
  <c r="G33" i="1"/>
  <c r="M35" i="1"/>
  <c r="F38" i="1"/>
  <c r="F42" i="1"/>
  <c r="F46" i="1"/>
  <c r="F50" i="1"/>
  <c r="F54" i="1"/>
  <c r="F3" i="1"/>
  <c r="F15" i="1"/>
  <c r="G18" i="1"/>
  <c r="G21" i="1"/>
  <c r="G25" i="1"/>
  <c r="M28" i="1"/>
  <c r="N27" i="1" s="1"/>
  <c r="F31" i="1"/>
  <c r="G38" i="1"/>
  <c r="G42" i="1"/>
  <c r="G46" i="1"/>
  <c r="G50" i="1"/>
  <c r="G54" i="1"/>
  <c r="F9" i="1"/>
  <c r="G15" i="1"/>
  <c r="M33" i="1"/>
  <c r="C15" i="4" l="1"/>
  <c r="K147" i="4" s="1"/>
  <c r="H147" i="4" s="1"/>
  <c r="G147" i="4" s="1"/>
  <c r="L68" i="4"/>
  <c r="L75" i="4"/>
  <c r="K26" i="4"/>
  <c r="K58" i="4"/>
  <c r="H39" i="4"/>
  <c r="K39" i="4" s="1"/>
  <c r="N39" i="4" s="1"/>
  <c r="L26" i="4"/>
  <c r="H80" i="4"/>
  <c r="K80" i="4" s="1"/>
  <c r="N80" i="4" s="1"/>
  <c r="H29" i="4"/>
  <c r="K29" i="4" s="1"/>
  <c r="N29" i="4" s="1"/>
  <c r="H84" i="4"/>
  <c r="K84" i="4" s="1"/>
  <c r="N84" i="4" s="1"/>
  <c r="K54" i="4"/>
  <c r="N54" i="4" s="1"/>
  <c r="L82" i="4"/>
  <c r="K75" i="4"/>
  <c r="K93" i="4"/>
  <c r="N93" i="4" s="1"/>
  <c r="H50" i="4"/>
  <c r="L35" i="4"/>
  <c r="L42" i="4"/>
  <c r="L116" i="4"/>
  <c r="L47" i="4"/>
  <c r="K82" i="4"/>
  <c r="K55" i="4"/>
  <c r="N55" i="4" s="1"/>
  <c r="L113" i="4"/>
  <c r="K115" i="4"/>
  <c r="N115" i="4" s="1"/>
  <c r="L115" i="4"/>
  <c r="K101" i="4"/>
  <c r="L61" i="4"/>
  <c r="K47" i="4"/>
  <c r="L66" i="4"/>
  <c r="K109" i="4"/>
  <c r="H110" i="4"/>
  <c r="K110" i="4" s="1"/>
  <c r="N110" i="4" s="1"/>
  <c r="H79" i="4"/>
  <c r="K79" i="4" s="1"/>
  <c r="N79" i="4" s="1"/>
  <c r="K42" i="4"/>
  <c r="N42" i="4" s="1"/>
  <c r="H69" i="4"/>
  <c r="K69" i="4" s="1"/>
  <c r="N69" i="4" s="1"/>
  <c r="K50" i="4"/>
  <c r="N50" i="4" s="1"/>
  <c r="K51" i="4"/>
  <c r="N51" i="4" s="1"/>
  <c r="L108" i="4"/>
  <c r="L51" i="4"/>
  <c r="K96" i="4"/>
  <c r="L114" i="4"/>
  <c r="L122" i="4"/>
  <c r="L96" i="4"/>
  <c r="H86" i="4"/>
  <c r="K86" i="4" s="1"/>
  <c r="N86" i="4" s="1"/>
  <c r="L94" i="4"/>
  <c r="L30" i="4"/>
  <c r="K68" i="4"/>
  <c r="N68" i="4" s="1"/>
  <c r="K114" i="4"/>
  <c r="N114" i="4" s="1"/>
  <c r="K108" i="4"/>
  <c r="N108" i="4" s="1"/>
  <c r="L90" i="4"/>
  <c r="K64" i="4"/>
  <c r="K35" i="4"/>
  <c r="L123" i="4"/>
  <c r="K61" i="4"/>
  <c r="N61" i="4" s="1"/>
  <c r="K90" i="4"/>
  <c r="K122" i="4"/>
  <c r="L36" i="4"/>
  <c r="K30" i="4"/>
  <c r="N30" i="4" s="1"/>
  <c r="H72" i="4"/>
  <c r="K72" i="4" s="1"/>
  <c r="N72" i="4" s="1"/>
  <c r="L87" i="4"/>
  <c r="K94" i="4"/>
  <c r="N94" i="4" s="1"/>
  <c r="K87" i="4"/>
  <c r="K92" i="4"/>
  <c r="N92" i="4" s="1"/>
  <c r="O92" i="4" s="1"/>
  <c r="S92" i="4" s="1"/>
  <c r="K28" i="4"/>
  <c r="K105" i="4"/>
  <c r="N105" i="4" s="1"/>
  <c r="L105" i="4"/>
  <c r="L54" i="4"/>
  <c r="L60" i="4"/>
  <c r="K106" i="4"/>
  <c r="N106" i="4" s="1"/>
  <c r="K62" i="4"/>
  <c r="L62" i="4"/>
  <c r="K123" i="4"/>
  <c r="N123" i="4" s="1"/>
  <c r="K31" i="4"/>
  <c r="N31" i="4" s="1"/>
  <c r="K40" i="4"/>
  <c r="L59" i="4"/>
  <c r="L28" i="4"/>
  <c r="K59" i="4"/>
  <c r="N59" i="4" s="1"/>
  <c r="K120" i="4"/>
  <c r="N120" i="4" s="1"/>
  <c r="K37" i="4"/>
  <c r="N37" i="4" s="1"/>
  <c r="K119" i="4"/>
  <c r="N119" i="4" s="1"/>
  <c r="L45" i="4"/>
  <c r="K111" i="4"/>
  <c r="N111" i="4" s="1"/>
  <c r="K45" i="4"/>
  <c r="N45" i="4" s="1"/>
  <c r="L67" i="4"/>
  <c r="K67" i="4"/>
  <c r="K44" i="4"/>
  <c r="L58" i="4"/>
  <c r="K36" i="4"/>
  <c r="L85" i="4"/>
  <c r="K33" i="4"/>
  <c r="L106" i="4"/>
  <c r="K89" i="4"/>
  <c r="N89" i="4" s="1"/>
  <c r="K85" i="4"/>
  <c r="N85" i="4" s="1"/>
  <c r="K100" i="4"/>
  <c r="N100" i="4" s="1"/>
  <c r="L74" i="4"/>
  <c r="L40" i="4"/>
  <c r="L55" i="4"/>
  <c r="L107" i="4"/>
  <c r="L33" i="4"/>
  <c r="K107" i="4"/>
  <c r="N107" i="4" s="1"/>
  <c r="L31" i="4"/>
  <c r="H91" i="4"/>
  <c r="K91" i="4" s="1"/>
  <c r="N91" i="4" s="1"/>
  <c r="L91" i="4"/>
  <c r="L118" i="4"/>
  <c r="H118" i="4"/>
  <c r="K118" i="4" s="1"/>
  <c r="N118" i="4" s="1"/>
  <c r="L81" i="4"/>
  <c r="H77" i="4"/>
  <c r="K77" i="4" s="1"/>
  <c r="N77" i="4" s="1"/>
  <c r="L77" i="4"/>
  <c r="H73" i="4"/>
  <c r="K73" i="4" s="1"/>
  <c r="N73" i="4" s="1"/>
  <c r="L73" i="4"/>
  <c r="L117" i="4"/>
  <c r="H117" i="4"/>
  <c r="K117" i="4" s="1"/>
  <c r="N117" i="4" s="1"/>
  <c r="H63" i="4"/>
  <c r="K63" i="4" s="1"/>
  <c r="N63" i="4" s="1"/>
  <c r="L63" i="4"/>
  <c r="L104" i="4"/>
  <c r="L92" i="4"/>
  <c r="H112" i="4"/>
  <c r="K112" i="4" s="1"/>
  <c r="N112" i="4" s="1"/>
  <c r="L112" i="4"/>
  <c r="H57" i="4"/>
  <c r="K57" i="4" s="1"/>
  <c r="N57" i="4" s="1"/>
  <c r="L57" i="4"/>
  <c r="H52" i="4"/>
  <c r="L52" i="4"/>
  <c r="K104" i="4"/>
  <c r="N104" i="4" s="1"/>
  <c r="H103" i="4"/>
  <c r="K103" i="4" s="1"/>
  <c r="N103" i="4" s="1"/>
  <c r="L103" i="4"/>
  <c r="L100" i="4"/>
  <c r="L38" i="4"/>
  <c r="H38" i="4"/>
  <c r="K38" i="4" s="1"/>
  <c r="N38" i="4" s="1"/>
  <c r="K66" i="4"/>
  <c r="N66" i="4" s="1"/>
  <c r="N122" i="4"/>
  <c r="N109" i="4"/>
  <c r="N96" i="4"/>
  <c r="N113" i="4"/>
  <c r="N97" i="4"/>
  <c r="N87" i="4"/>
  <c r="N116" i="4"/>
  <c r="N82" i="4"/>
  <c r="N78" i="4"/>
  <c r="N67" i="4"/>
  <c r="N90" i="4"/>
  <c r="N98" i="4"/>
  <c r="N70" i="4"/>
  <c r="N60" i="4"/>
  <c r="N64" i="4"/>
  <c r="N101" i="4"/>
  <c r="N36" i="4"/>
  <c r="N62" i="4"/>
  <c r="N58" i="4"/>
  <c r="N49" i="4"/>
  <c r="N75" i="4"/>
  <c r="N32" i="4"/>
  <c r="N28" i="4"/>
  <c r="N44" i="4"/>
  <c r="N47" i="4"/>
  <c r="N26" i="4"/>
  <c r="N35" i="4"/>
  <c r="N40" i="4"/>
  <c r="N33" i="4"/>
  <c r="H102" i="4"/>
  <c r="K102" i="4" s="1"/>
  <c r="N102" i="4" s="1"/>
  <c r="L102" i="4"/>
  <c r="H95" i="4"/>
  <c r="K95" i="4" s="1"/>
  <c r="N95" i="4" s="1"/>
  <c r="L95" i="4"/>
  <c r="H56" i="4"/>
  <c r="K56" i="4" s="1"/>
  <c r="N56" i="4" s="1"/>
  <c r="L56" i="4"/>
  <c r="H99" i="4"/>
  <c r="K99" i="4" s="1"/>
  <c r="N99" i="4" s="1"/>
  <c r="L99" i="4"/>
  <c r="K74" i="4"/>
  <c r="N74" i="4" s="1"/>
  <c r="K53" i="4"/>
  <c r="N53" i="4" s="1"/>
  <c r="L34" i="4"/>
  <c r="H34" i="4"/>
  <c r="K34" i="4" s="1"/>
  <c r="N34" i="4" s="1"/>
  <c r="L53" i="4"/>
  <c r="L89" i="4"/>
  <c r="L83" i="4"/>
  <c r="H83" i="4"/>
  <c r="K83" i="4" s="1"/>
  <c r="N83" i="4" s="1"/>
  <c r="H27" i="4"/>
  <c r="K27" i="4" s="1"/>
  <c r="N27" i="4" s="1"/>
  <c r="L27" i="4"/>
  <c r="K148" i="4"/>
  <c r="H148" i="4" s="1"/>
  <c r="G148" i="4" s="1"/>
  <c r="L46" i="4"/>
  <c r="H46" i="4"/>
  <c r="K46" i="4" s="1"/>
  <c r="N46" i="4" s="1"/>
  <c r="K76" i="4"/>
  <c r="N76" i="4" s="1"/>
  <c r="L121" i="4"/>
  <c r="H121" i="4"/>
  <c r="K121" i="4" s="1"/>
  <c r="N121" i="4" s="1"/>
  <c r="H88" i="4"/>
  <c r="K88" i="4" s="1"/>
  <c r="N88" i="4" s="1"/>
  <c r="L88" i="4"/>
  <c r="K65" i="4"/>
  <c r="N65" i="4" s="1"/>
  <c r="K52" i="4"/>
  <c r="N52" i="4" s="1"/>
  <c r="L44" i="4"/>
  <c r="L37" i="4"/>
  <c r="K81" i="4"/>
  <c r="N81" i="4" s="1"/>
  <c r="O81" i="4" s="1"/>
  <c r="L111" i="4"/>
  <c r="L76" i="4"/>
  <c r="L41" i="4"/>
  <c r="H41" i="4"/>
  <c r="K41" i="4" s="1"/>
  <c r="N41" i="4" s="1"/>
  <c r="L71" i="4"/>
  <c r="H71" i="4"/>
  <c r="K71" i="4" s="1"/>
  <c r="N71" i="4" s="1"/>
  <c r="K48" i="4"/>
  <c r="N48" i="4" s="1"/>
  <c r="L48" i="4"/>
  <c r="L65" i="4"/>
  <c r="L43" i="4"/>
  <c r="H43" i="4"/>
  <c r="K43" i="4" s="1"/>
  <c r="N43" i="4" s="1"/>
  <c r="O43" i="4" s="1"/>
  <c r="H2" i="1"/>
  <c r="H3" i="1" s="1"/>
  <c r="H4" i="1" s="1"/>
  <c r="H5" i="1" s="1"/>
  <c r="H6" i="1" s="1"/>
  <c r="H7" i="1" s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Q27" i="1" l="1"/>
  <c r="K136" i="4"/>
  <c r="H136" i="4" s="1"/>
  <c r="G136" i="4" s="1"/>
  <c r="L136" i="4" s="1"/>
  <c r="O46" i="4"/>
  <c r="T46" i="4" s="1"/>
  <c r="U46" i="4" s="1"/>
  <c r="V46" i="4" s="1"/>
  <c r="K151" i="4"/>
  <c r="H151" i="4" s="1"/>
  <c r="G151" i="4" s="1"/>
  <c r="F151" i="4" s="1"/>
  <c r="O33" i="4"/>
  <c r="S33" i="4" s="1"/>
  <c r="O36" i="4"/>
  <c r="S36" i="4" s="1"/>
  <c r="O97" i="4"/>
  <c r="S97" i="4" s="1"/>
  <c r="O31" i="4"/>
  <c r="S31" i="4" s="1"/>
  <c r="O94" i="4"/>
  <c r="S94" i="4" s="1"/>
  <c r="O108" i="4"/>
  <c r="S108" i="4" s="1"/>
  <c r="O51" i="4"/>
  <c r="S51" i="4" s="1"/>
  <c r="O115" i="4"/>
  <c r="S115" i="4" s="1"/>
  <c r="O54" i="4"/>
  <c r="S54" i="4" s="1"/>
  <c r="O35" i="4"/>
  <c r="S35" i="4" s="1"/>
  <c r="O64" i="4"/>
  <c r="S64" i="4" s="1"/>
  <c r="O96" i="4"/>
  <c r="S96" i="4" s="1"/>
  <c r="O52" i="4"/>
  <c r="Q52" i="4" s="1"/>
  <c r="O48" i="4"/>
  <c r="S48" i="4" s="1"/>
  <c r="K149" i="4"/>
  <c r="H149" i="4" s="1"/>
  <c r="G149" i="4" s="1"/>
  <c r="F149" i="4" s="1"/>
  <c r="K141" i="4"/>
  <c r="H141" i="4" s="1"/>
  <c r="G141" i="4" s="1"/>
  <c r="F141" i="4" s="1"/>
  <c r="K153" i="4"/>
  <c r="H153" i="4" s="1"/>
  <c r="G153" i="4" s="1"/>
  <c r="F153" i="4" s="1"/>
  <c r="O78" i="4"/>
  <c r="S78" i="4" s="1"/>
  <c r="O75" i="4"/>
  <c r="S75" i="4" s="1"/>
  <c r="K150" i="4"/>
  <c r="H150" i="4" s="1"/>
  <c r="G150" i="4" s="1"/>
  <c r="L150" i="4" s="1"/>
  <c r="O37" i="4"/>
  <c r="S37" i="4" s="1"/>
  <c r="O91" i="4"/>
  <c r="S91" i="4" s="1"/>
  <c r="K145" i="4"/>
  <c r="H145" i="4" s="1"/>
  <c r="G145" i="4" s="1"/>
  <c r="F145" i="4" s="1"/>
  <c r="O41" i="4"/>
  <c r="Q41" i="4" s="1"/>
  <c r="K144" i="4"/>
  <c r="H144" i="4" s="1"/>
  <c r="G144" i="4" s="1"/>
  <c r="F144" i="4" s="1"/>
  <c r="O99" i="4"/>
  <c r="Q99" i="4" s="1"/>
  <c r="O40" i="4"/>
  <c r="S40" i="4" s="1"/>
  <c r="O101" i="4"/>
  <c r="S101" i="4" s="1"/>
  <c r="O113" i="4"/>
  <c r="S113" i="4" s="1"/>
  <c r="O73" i="4"/>
  <c r="P73" i="4" s="1"/>
  <c r="O65" i="4"/>
  <c r="T65" i="4" s="1"/>
  <c r="U65" i="4" s="1"/>
  <c r="V65" i="4" s="1"/>
  <c r="K129" i="4"/>
  <c r="H129" i="4" s="1"/>
  <c r="G129" i="4" s="1"/>
  <c r="L129" i="4" s="1"/>
  <c r="K125" i="4"/>
  <c r="H125" i="4" s="1"/>
  <c r="G125" i="4" s="1"/>
  <c r="L125" i="4" s="1"/>
  <c r="O26" i="4"/>
  <c r="S26" i="4" s="1"/>
  <c r="O60" i="4"/>
  <c r="S60" i="4" s="1"/>
  <c r="O109" i="4"/>
  <c r="S109" i="4" s="1"/>
  <c r="O57" i="4"/>
  <c r="Q57" i="4" s="1"/>
  <c r="O77" i="4"/>
  <c r="S77" i="4" s="1"/>
  <c r="O123" i="4"/>
  <c r="S123" i="4" s="1"/>
  <c r="O114" i="4"/>
  <c r="S114" i="4" s="1"/>
  <c r="O50" i="4"/>
  <c r="S50" i="4" s="1"/>
  <c r="O84" i="4"/>
  <c r="S84" i="4" s="1"/>
  <c r="K154" i="4"/>
  <c r="H154" i="4" s="1"/>
  <c r="G154" i="4" s="1"/>
  <c r="L154" i="4" s="1"/>
  <c r="K124" i="4"/>
  <c r="H124" i="4" s="1"/>
  <c r="G124" i="4" s="1"/>
  <c r="L124" i="4" s="1"/>
  <c r="K130" i="4"/>
  <c r="H130" i="4" s="1"/>
  <c r="G130" i="4" s="1"/>
  <c r="L130" i="4" s="1"/>
  <c r="K133" i="4"/>
  <c r="H133" i="4" s="1"/>
  <c r="G133" i="4" s="1"/>
  <c r="F133" i="4" s="1"/>
  <c r="O47" i="4"/>
  <c r="S47" i="4" s="1"/>
  <c r="O70" i="4"/>
  <c r="S70" i="4" s="1"/>
  <c r="O122" i="4"/>
  <c r="S122" i="4" s="1"/>
  <c r="O45" i="4"/>
  <c r="S45" i="4" s="1"/>
  <c r="O72" i="4"/>
  <c r="S72" i="4" s="1"/>
  <c r="O68" i="4"/>
  <c r="S68" i="4" s="1"/>
  <c r="O69" i="4"/>
  <c r="S69" i="4" s="1"/>
  <c r="O55" i="4"/>
  <c r="S55" i="4" s="1"/>
  <c r="O29" i="4"/>
  <c r="S29" i="4" s="1"/>
  <c r="O88" i="4"/>
  <c r="T88" i="4" s="1"/>
  <c r="U88" i="4" s="1"/>
  <c r="V88" i="4" s="1"/>
  <c r="O44" i="4"/>
  <c r="S44" i="4" s="1"/>
  <c r="O98" i="4"/>
  <c r="S98" i="4" s="1"/>
  <c r="O66" i="4"/>
  <c r="S66" i="4" s="1"/>
  <c r="O112" i="4"/>
  <c r="S112" i="4" s="1"/>
  <c r="O118" i="4"/>
  <c r="S118" i="4" s="1"/>
  <c r="O100" i="4"/>
  <c r="S100" i="4" s="1"/>
  <c r="O111" i="4"/>
  <c r="S111" i="4" s="1"/>
  <c r="O30" i="4"/>
  <c r="S30" i="4" s="1"/>
  <c r="O42" i="4"/>
  <c r="S42" i="4" s="1"/>
  <c r="O80" i="4"/>
  <c r="S80" i="4" s="1"/>
  <c r="K134" i="4"/>
  <c r="H134" i="4" s="1"/>
  <c r="G134" i="4" s="1"/>
  <c r="F134" i="4" s="1"/>
  <c r="O34" i="4"/>
  <c r="P34" i="4" s="1"/>
  <c r="K143" i="4"/>
  <c r="H143" i="4" s="1"/>
  <c r="G143" i="4" s="1"/>
  <c r="F143" i="4" s="1"/>
  <c r="O121" i="4"/>
  <c r="P121" i="4" s="1"/>
  <c r="O27" i="4"/>
  <c r="Q27" i="4" s="1"/>
  <c r="O28" i="4"/>
  <c r="S28" i="4" s="1"/>
  <c r="O90" i="4"/>
  <c r="S90" i="4" s="1"/>
  <c r="O38" i="4"/>
  <c r="S38" i="4" s="1"/>
  <c r="O85" i="4"/>
  <c r="S85" i="4" s="1"/>
  <c r="O106" i="4"/>
  <c r="S106" i="4" s="1"/>
  <c r="O79" i="4"/>
  <c r="S79" i="4" s="1"/>
  <c r="K139" i="4"/>
  <c r="H139" i="4" s="1"/>
  <c r="G139" i="4" s="1"/>
  <c r="F139" i="4" s="1"/>
  <c r="O56" i="4"/>
  <c r="T56" i="4" s="1"/>
  <c r="U56" i="4" s="1"/>
  <c r="V56" i="4" s="1"/>
  <c r="O83" i="4"/>
  <c r="S83" i="4" s="1"/>
  <c r="K142" i="4"/>
  <c r="H142" i="4" s="1"/>
  <c r="G142" i="4" s="1"/>
  <c r="L142" i="4" s="1"/>
  <c r="O95" i="4"/>
  <c r="P95" i="4" s="1"/>
  <c r="O32" i="4"/>
  <c r="S32" i="4" s="1"/>
  <c r="O67" i="4"/>
  <c r="S67" i="4" s="1"/>
  <c r="O89" i="4"/>
  <c r="S89" i="4" s="1"/>
  <c r="O119" i="4"/>
  <c r="S119" i="4" s="1"/>
  <c r="O86" i="4"/>
  <c r="S86" i="4" s="1"/>
  <c r="O110" i="4"/>
  <c r="S110" i="4" s="1"/>
  <c r="O39" i="4"/>
  <c r="S39" i="4" s="1"/>
  <c r="O71" i="4"/>
  <c r="Q71" i="4" s="1"/>
  <c r="K152" i="4"/>
  <c r="H152" i="4" s="1"/>
  <c r="G152" i="4" s="1"/>
  <c r="L152" i="4" s="1"/>
  <c r="K126" i="4"/>
  <c r="H126" i="4" s="1"/>
  <c r="G126" i="4" s="1"/>
  <c r="L126" i="4" s="1"/>
  <c r="K146" i="4"/>
  <c r="H146" i="4" s="1"/>
  <c r="G146" i="4" s="1"/>
  <c r="F146" i="4" s="1"/>
  <c r="K127" i="4"/>
  <c r="H127" i="4" s="1"/>
  <c r="G127" i="4" s="1"/>
  <c r="L127" i="4" s="1"/>
  <c r="O102" i="4"/>
  <c r="Q102" i="4" s="1"/>
  <c r="O49" i="4"/>
  <c r="S49" i="4" s="1"/>
  <c r="O82" i="4"/>
  <c r="S82" i="4" s="1"/>
  <c r="O63" i="4"/>
  <c r="S63" i="4" s="1"/>
  <c r="K140" i="4"/>
  <c r="H140" i="4" s="1"/>
  <c r="G140" i="4" s="1"/>
  <c r="F140" i="4" s="1"/>
  <c r="C140" i="4" s="1"/>
  <c r="O120" i="4"/>
  <c r="S120" i="4" s="1"/>
  <c r="O61" i="4"/>
  <c r="S61" i="4" s="1"/>
  <c r="K128" i="4"/>
  <c r="H128" i="4" s="1"/>
  <c r="G128" i="4" s="1"/>
  <c r="L128" i="4" s="1"/>
  <c r="K135" i="4"/>
  <c r="H135" i="4" s="1"/>
  <c r="G135" i="4" s="1"/>
  <c r="F135" i="4" s="1"/>
  <c r="K155" i="4"/>
  <c r="H155" i="4" s="1"/>
  <c r="G155" i="4" s="1"/>
  <c r="L155" i="4" s="1"/>
  <c r="O53" i="4"/>
  <c r="S53" i="4" s="1"/>
  <c r="K138" i="4"/>
  <c r="H138" i="4" s="1"/>
  <c r="G138" i="4" s="1"/>
  <c r="L138" i="4" s="1"/>
  <c r="O58" i="4"/>
  <c r="S58" i="4" s="1"/>
  <c r="O116" i="4"/>
  <c r="S116" i="4" s="1"/>
  <c r="O103" i="4"/>
  <c r="S103" i="4" s="1"/>
  <c r="O117" i="4"/>
  <c r="S117" i="4" s="1"/>
  <c r="O59" i="4"/>
  <c r="S59" i="4" s="1"/>
  <c r="O105" i="4"/>
  <c r="S105" i="4" s="1"/>
  <c r="K132" i="4"/>
  <c r="H132" i="4" s="1"/>
  <c r="G132" i="4" s="1"/>
  <c r="L132" i="4" s="1"/>
  <c r="K137" i="4"/>
  <c r="H137" i="4" s="1"/>
  <c r="G137" i="4" s="1"/>
  <c r="F137" i="4" s="1"/>
  <c r="O76" i="4"/>
  <c r="P76" i="4" s="1"/>
  <c r="K131" i="4"/>
  <c r="H131" i="4" s="1"/>
  <c r="G131" i="4" s="1"/>
  <c r="L131" i="4" s="1"/>
  <c r="O74" i="4"/>
  <c r="Q74" i="4" s="1"/>
  <c r="O62" i="4"/>
  <c r="S62" i="4" s="1"/>
  <c r="O87" i="4"/>
  <c r="S87" i="4" s="1"/>
  <c r="O104" i="4"/>
  <c r="S104" i="4" s="1"/>
  <c r="O107" i="4"/>
  <c r="S107" i="4" s="1"/>
  <c r="O93" i="4"/>
  <c r="S93" i="4" s="1"/>
  <c r="Q81" i="4"/>
  <c r="P81" i="4"/>
  <c r="T81" i="4"/>
  <c r="U81" i="4" s="1"/>
  <c r="V81" i="4" s="1"/>
  <c r="S81" i="4"/>
  <c r="Q43" i="4"/>
  <c r="P43" i="4"/>
  <c r="T43" i="4"/>
  <c r="U43" i="4" s="1"/>
  <c r="V43" i="4" s="1"/>
  <c r="S43" i="4"/>
  <c r="F147" i="4"/>
  <c r="L147" i="4"/>
  <c r="L148" i="4"/>
  <c r="F148" i="4"/>
  <c r="P92" i="4"/>
  <c r="Q92" i="4"/>
  <c r="T92" i="4"/>
  <c r="U92" i="4" s="1"/>
  <c r="V92" i="4" s="1"/>
  <c r="N148" i="4"/>
  <c r="O148" i="4" s="1"/>
  <c r="N147" i="4"/>
  <c r="O147" i="4" s="1"/>
  <c r="T35" i="4"/>
  <c r="U35" i="4" s="1"/>
  <c r="V35" i="4" s="1"/>
  <c r="K9" i="1"/>
  <c r="K10" i="1" s="1"/>
  <c r="T1" i="1" s="1"/>
  <c r="Q35" i="4" l="1"/>
  <c r="P35" i="4"/>
  <c r="L153" i="4"/>
  <c r="T64" i="4"/>
  <c r="U64" i="4" s="1"/>
  <c r="V64" i="4" s="1"/>
  <c r="P46" i="4"/>
  <c r="S46" i="4"/>
  <c r="Q46" i="4"/>
  <c r="P33" i="4"/>
  <c r="Q33" i="4"/>
  <c r="T52" i="4"/>
  <c r="U52" i="4" s="1"/>
  <c r="V52" i="4" s="1"/>
  <c r="N153" i="4"/>
  <c r="O153" i="4" s="1"/>
  <c r="Q153" i="4" s="1"/>
  <c r="P64" i="4"/>
  <c r="Q64" i="4"/>
  <c r="T33" i="4"/>
  <c r="U33" i="4" s="1"/>
  <c r="V33" i="4" s="1"/>
  <c r="F136" i="4"/>
  <c r="C136" i="4" s="1"/>
  <c r="T91" i="4"/>
  <c r="U91" i="4" s="1"/>
  <c r="V91" i="4" s="1"/>
  <c r="N136" i="4"/>
  <c r="O136" i="4" s="1"/>
  <c r="Q136" i="4" s="1"/>
  <c r="Q91" i="4"/>
  <c r="P97" i="4"/>
  <c r="T97" i="4"/>
  <c r="U97" i="4" s="1"/>
  <c r="V97" i="4" s="1"/>
  <c r="Q97" i="4"/>
  <c r="T94" i="4"/>
  <c r="U94" i="4" s="1"/>
  <c r="V94" i="4" s="1"/>
  <c r="Q94" i="4"/>
  <c r="P94" i="4"/>
  <c r="T31" i="4"/>
  <c r="U31" i="4" s="1"/>
  <c r="V31" i="4" s="1"/>
  <c r="P96" i="4"/>
  <c r="T96" i="4"/>
  <c r="U96" i="4" s="1"/>
  <c r="V96" i="4" s="1"/>
  <c r="L151" i="4"/>
  <c r="N151" i="4"/>
  <c r="O151" i="4" s="1"/>
  <c r="Q151" i="4" s="1"/>
  <c r="Q96" i="4"/>
  <c r="P31" i="4"/>
  <c r="Q31" i="4"/>
  <c r="L141" i="4"/>
  <c r="N141" i="4"/>
  <c r="O141" i="4" s="1"/>
  <c r="T141" i="4" s="1"/>
  <c r="U141" i="4" s="1"/>
  <c r="V141" i="4" s="1"/>
  <c r="S52" i="4"/>
  <c r="P52" i="4"/>
  <c r="R52" i="4" s="1"/>
  <c r="P91" i="4"/>
  <c r="T48" i="4"/>
  <c r="U48" i="4" s="1"/>
  <c r="V48" i="4" s="1"/>
  <c r="T36" i="4"/>
  <c r="U36" i="4" s="1"/>
  <c r="V36" i="4" s="1"/>
  <c r="P36" i="4"/>
  <c r="Q48" i="4"/>
  <c r="Q36" i="4"/>
  <c r="P48" i="4"/>
  <c r="N149" i="4"/>
  <c r="O149" i="4" s="1"/>
  <c r="P149" i="4" s="1"/>
  <c r="L149" i="4"/>
  <c r="T51" i="4"/>
  <c r="U51" i="4" s="1"/>
  <c r="V51" i="4" s="1"/>
  <c r="P51" i="4"/>
  <c r="Q51" i="4"/>
  <c r="P75" i="4"/>
  <c r="Q75" i="4"/>
  <c r="T75" i="4"/>
  <c r="U75" i="4" s="1"/>
  <c r="V75" i="4" s="1"/>
  <c r="P115" i="4"/>
  <c r="Q37" i="4"/>
  <c r="N150" i="4"/>
  <c r="O150" i="4" s="1"/>
  <c r="P150" i="4" s="1"/>
  <c r="F150" i="4"/>
  <c r="C150" i="4" s="1"/>
  <c r="Q115" i="4"/>
  <c r="T115" i="4"/>
  <c r="U115" i="4" s="1"/>
  <c r="V115" i="4" s="1"/>
  <c r="P37" i="4"/>
  <c r="Q54" i="4"/>
  <c r="T37" i="4"/>
  <c r="U37" i="4" s="1"/>
  <c r="V37" i="4" s="1"/>
  <c r="T54" i="4"/>
  <c r="U54" i="4" s="1"/>
  <c r="V54" i="4" s="1"/>
  <c r="P54" i="4"/>
  <c r="Q108" i="4"/>
  <c r="Q78" i="4"/>
  <c r="T78" i="4"/>
  <c r="U78" i="4" s="1"/>
  <c r="V78" i="4" s="1"/>
  <c r="T108" i="4"/>
  <c r="U108" i="4" s="1"/>
  <c r="V108" i="4" s="1"/>
  <c r="P78" i="4"/>
  <c r="P108" i="4"/>
  <c r="P109" i="4"/>
  <c r="Q60" i="4"/>
  <c r="T109" i="4"/>
  <c r="U109" i="4" s="1"/>
  <c r="V109" i="4" s="1"/>
  <c r="Q109" i="4"/>
  <c r="Q28" i="4"/>
  <c r="P41" i="4"/>
  <c r="R41" i="4" s="1"/>
  <c r="S41" i="4"/>
  <c r="T41" i="4"/>
  <c r="U41" i="4" s="1"/>
  <c r="V41" i="4" s="1"/>
  <c r="T101" i="4"/>
  <c r="U101" i="4" s="1"/>
  <c r="V101" i="4" s="1"/>
  <c r="P114" i="4"/>
  <c r="Q32" i="4"/>
  <c r="P32" i="4"/>
  <c r="P66" i="4"/>
  <c r="T47" i="4"/>
  <c r="U47" i="4" s="1"/>
  <c r="V47" i="4" s="1"/>
  <c r="Q66" i="4"/>
  <c r="P47" i="4"/>
  <c r="L145" i="4"/>
  <c r="T60" i="4"/>
  <c r="U60" i="4" s="1"/>
  <c r="V60" i="4" s="1"/>
  <c r="T32" i="4"/>
  <c r="U32" i="4" s="1"/>
  <c r="V32" i="4" s="1"/>
  <c r="P60" i="4"/>
  <c r="N145" i="4"/>
  <c r="O145" i="4" s="1"/>
  <c r="T145" i="4" s="1"/>
  <c r="U145" i="4" s="1"/>
  <c r="V145" i="4" s="1"/>
  <c r="Q47" i="4"/>
  <c r="L144" i="4"/>
  <c r="T122" i="4"/>
  <c r="U122" i="4" s="1"/>
  <c r="V122" i="4" s="1"/>
  <c r="N144" i="4"/>
  <c r="O144" i="4" s="1"/>
  <c r="P144" i="4" s="1"/>
  <c r="Q122" i="4"/>
  <c r="S57" i="4"/>
  <c r="T57" i="4"/>
  <c r="U57" i="4" s="1"/>
  <c r="V57" i="4" s="1"/>
  <c r="P122" i="4"/>
  <c r="P57" i="4"/>
  <c r="R57" i="4" s="1"/>
  <c r="P27" i="4"/>
  <c r="R27" i="4" s="1"/>
  <c r="T27" i="4"/>
  <c r="U27" i="4" s="1"/>
  <c r="V27" i="4" s="1"/>
  <c r="T58" i="4"/>
  <c r="U58" i="4" s="1"/>
  <c r="V58" i="4" s="1"/>
  <c r="Q70" i="4"/>
  <c r="Q50" i="4"/>
  <c r="T118" i="4"/>
  <c r="U118" i="4" s="1"/>
  <c r="V118" i="4" s="1"/>
  <c r="P80" i="4"/>
  <c r="T39" i="4"/>
  <c r="U39" i="4" s="1"/>
  <c r="V39" i="4" s="1"/>
  <c r="P90" i="4"/>
  <c r="T90" i="4"/>
  <c r="U90" i="4" s="1"/>
  <c r="V90" i="4" s="1"/>
  <c r="Q90" i="4"/>
  <c r="P70" i="4"/>
  <c r="T28" i="4"/>
  <c r="U28" i="4" s="1"/>
  <c r="V28" i="4" s="1"/>
  <c r="P28" i="4"/>
  <c r="T112" i="4"/>
  <c r="U112" i="4" s="1"/>
  <c r="V112" i="4" s="1"/>
  <c r="T70" i="4"/>
  <c r="U70" i="4" s="1"/>
  <c r="V70" i="4" s="1"/>
  <c r="Q69" i="4"/>
  <c r="P69" i="4"/>
  <c r="T69" i="4"/>
  <c r="U69" i="4" s="1"/>
  <c r="V69" i="4" s="1"/>
  <c r="P39" i="4"/>
  <c r="P50" i="4"/>
  <c r="Q39" i="4"/>
  <c r="P113" i="4"/>
  <c r="T79" i="4"/>
  <c r="U79" i="4" s="1"/>
  <c r="V79" i="4" s="1"/>
  <c r="T113" i="4"/>
  <c r="U113" i="4" s="1"/>
  <c r="V113" i="4" s="1"/>
  <c r="T42" i="4"/>
  <c r="U42" i="4" s="1"/>
  <c r="V42" i="4" s="1"/>
  <c r="P79" i="4"/>
  <c r="Q113" i="4"/>
  <c r="P42" i="4"/>
  <c r="Q79" i="4"/>
  <c r="T50" i="4"/>
  <c r="U50" i="4" s="1"/>
  <c r="V50" i="4" s="1"/>
  <c r="Q42" i="4"/>
  <c r="T85" i="4"/>
  <c r="U85" i="4" s="1"/>
  <c r="V85" i="4" s="1"/>
  <c r="P72" i="4"/>
  <c r="T77" i="4"/>
  <c r="U77" i="4" s="1"/>
  <c r="V77" i="4" s="1"/>
  <c r="Q77" i="4"/>
  <c r="P77" i="4"/>
  <c r="T89" i="4"/>
  <c r="U89" i="4" s="1"/>
  <c r="V89" i="4" s="1"/>
  <c r="P89" i="4"/>
  <c r="Q89" i="4"/>
  <c r="P45" i="4"/>
  <c r="P102" i="4"/>
  <c r="R102" i="4" s="1"/>
  <c r="Q87" i="4"/>
  <c r="P58" i="4"/>
  <c r="S27" i="4"/>
  <c r="T66" i="4"/>
  <c r="U66" i="4" s="1"/>
  <c r="V66" i="4" s="1"/>
  <c r="P40" i="4"/>
  <c r="T40" i="4"/>
  <c r="U40" i="4" s="1"/>
  <c r="V40" i="4" s="1"/>
  <c r="T72" i="4"/>
  <c r="U72" i="4" s="1"/>
  <c r="V72" i="4" s="1"/>
  <c r="Q111" i="4"/>
  <c r="T111" i="4"/>
  <c r="U111" i="4" s="1"/>
  <c r="V111" i="4" s="1"/>
  <c r="P123" i="4"/>
  <c r="T87" i="4"/>
  <c r="U87" i="4" s="1"/>
  <c r="V87" i="4" s="1"/>
  <c r="Q58" i="4"/>
  <c r="S102" i="4"/>
  <c r="T102" i="4"/>
  <c r="U102" i="4" s="1"/>
  <c r="V102" i="4" s="1"/>
  <c r="Q59" i="4"/>
  <c r="L140" i="4"/>
  <c r="P87" i="4"/>
  <c r="T61" i="4"/>
  <c r="U61" i="4" s="1"/>
  <c r="V61" i="4" s="1"/>
  <c r="Q61" i="4"/>
  <c r="P61" i="4"/>
  <c r="F132" i="4"/>
  <c r="C132" i="4" s="1"/>
  <c r="Q72" i="4"/>
  <c r="Q40" i="4"/>
  <c r="T59" i="4"/>
  <c r="U59" i="4" s="1"/>
  <c r="V59" i="4" s="1"/>
  <c r="Q123" i="4"/>
  <c r="P59" i="4"/>
  <c r="T123" i="4"/>
  <c r="U123" i="4" s="1"/>
  <c r="V123" i="4" s="1"/>
  <c r="N140" i="4"/>
  <c r="O140" i="4" s="1"/>
  <c r="S140" i="4" s="1"/>
  <c r="P111" i="4"/>
  <c r="Q85" i="4"/>
  <c r="P85" i="4"/>
  <c r="P86" i="4"/>
  <c r="T86" i="4"/>
  <c r="U86" i="4" s="1"/>
  <c r="V86" i="4" s="1"/>
  <c r="Q86" i="4"/>
  <c r="Q63" i="4"/>
  <c r="P38" i="4"/>
  <c r="Q112" i="4"/>
  <c r="T116" i="4"/>
  <c r="U116" i="4" s="1"/>
  <c r="V116" i="4" s="1"/>
  <c r="P49" i="4"/>
  <c r="Q67" i="4"/>
  <c r="P65" i="4"/>
  <c r="P112" i="4"/>
  <c r="Q116" i="4"/>
  <c r="N132" i="4"/>
  <c r="O132" i="4" s="1"/>
  <c r="N137" i="4"/>
  <c r="O137" i="4" s="1"/>
  <c r="Q137" i="4" s="1"/>
  <c r="L137" i="4"/>
  <c r="Q82" i="4"/>
  <c r="P82" i="4"/>
  <c r="T107" i="4"/>
  <c r="U107" i="4" s="1"/>
  <c r="V107" i="4" s="1"/>
  <c r="Q107" i="4"/>
  <c r="P107" i="4"/>
  <c r="T82" i="4"/>
  <c r="U82" i="4" s="1"/>
  <c r="V82" i="4" s="1"/>
  <c r="Q65" i="4"/>
  <c r="N134" i="4"/>
  <c r="O134" i="4" s="1"/>
  <c r="Q134" i="4" s="1"/>
  <c r="F152" i="4"/>
  <c r="C152" i="4" s="1"/>
  <c r="L134" i="4"/>
  <c r="P29" i="4"/>
  <c r="Q29" i="4"/>
  <c r="P116" i="4"/>
  <c r="T104" i="4"/>
  <c r="U104" i="4" s="1"/>
  <c r="V104" i="4" s="1"/>
  <c r="T103" i="4"/>
  <c r="U103" i="4" s="1"/>
  <c r="V103" i="4" s="1"/>
  <c r="P118" i="4"/>
  <c r="T49" i="4"/>
  <c r="U49" i="4" s="1"/>
  <c r="V49" i="4" s="1"/>
  <c r="Q49" i="4"/>
  <c r="P104" i="4"/>
  <c r="P103" i="4"/>
  <c r="Q118" i="4"/>
  <c r="Q104" i="4"/>
  <c r="Q103" i="4"/>
  <c r="T67" i="4"/>
  <c r="U67" i="4" s="1"/>
  <c r="V67" i="4" s="1"/>
  <c r="Q83" i="4"/>
  <c r="P83" i="4"/>
  <c r="F155" i="4"/>
  <c r="C155" i="4" s="1"/>
  <c r="P119" i="4"/>
  <c r="P110" i="4"/>
  <c r="Q119" i="4"/>
  <c r="Q114" i="4"/>
  <c r="Q106" i="4"/>
  <c r="T114" i="4"/>
  <c r="U114" i="4" s="1"/>
  <c r="V114" i="4" s="1"/>
  <c r="P63" i="4"/>
  <c r="P105" i="4"/>
  <c r="T45" i="4"/>
  <c r="U45" i="4" s="1"/>
  <c r="V45" i="4" s="1"/>
  <c r="T93" i="4"/>
  <c r="U93" i="4" s="1"/>
  <c r="V93" i="4" s="1"/>
  <c r="T30" i="4"/>
  <c r="U30" i="4" s="1"/>
  <c r="V30" i="4" s="1"/>
  <c r="Q68" i="4"/>
  <c r="P117" i="4"/>
  <c r="P101" i="4"/>
  <c r="P93" i="4"/>
  <c r="P30" i="4"/>
  <c r="T117" i="4"/>
  <c r="U117" i="4" s="1"/>
  <c r="V117" i="4" s="1"/>
  <c r="Q101" i="4"/>
  <c r="Q30" i="4"/>
  <c r="P62" i="4"/>
  <c r="Q44" i="4"/>
  <c r="L146" i="4"/>
  <c r="N125" i="4"/>
  <c r="O125" i="4" s="1"/>
  <c r="Q125" i="4" s="1"/>
  <c r="P44" i="4"/>
  <c r="F125" i="4"/>
  <c r="C125" i="4" s="1"/>
  <c r="T29" i="4"/>
  <c r="U29" i="4" s="1"/>
  <c r="V29" i="4" s="1"/>
  <c r="F129" i="4"/>
  <c r="C129" i="4" s="1"/>
  <c r="S65" i="4"/>
  <c r="T83" i="4"/>
  <c r="U83" i="4" s="1"/>
  <c r="V83" i="4" s="1"/>
  <c r="F131" i="4"/>
  <c r="C131" i="4" s="1"/>
  <c r="T84" i="4"/>
  <c r="U84" i="4" s="1"/>
  <c r="V84" i="4" s="1"/>
  <c r="N131" i="4"/>
  <c r="O131" i="4" s="1"/>
  <c r="P131" i="4" s="1"/>
  <c r="P88" i="4"/>
  <c r="T44" i="4"/>
  <c r="U44" i="4" s="1"/>
  <c r="V44" i="4" s="1"/>
  <c r="S88" i="4"/>
  <c r="N126" i="4"/>
  <c r="O126" i="4" s="1"/>
  <c r="P126" i="4" s="1"/>
  <c r="F124" i="4"/>
  <c r="C124" i="4" s="1"/>
  <c r="F130" i="4"/>
  <c r="F154" i="4"/>
  <c r="C154" i="4" s="1"/>
  <c r="Q84" i="4"/>
  <c r="F142" i="4"/>
  <c r="Q88" i="4"/>
  <c r="S73" i="4"/>
  <c r="N155" i="4"/>
  <c r="O155" i="4" s="1"/>
  <c r="Q155" i="4" s="1"/>
  <c r="P84" i="4"/>
  <c r="F126" i="4"/>
  <c r="F128" i="4"/>
  <c r="S71" i="4"/>
  <c r="S56" i="4"/>
  <c r="T73" i="4"/>
  <c r="U73" i="4" s="1"/>
  <c r="V73" i="4" s="1"/>
  <c r="L139" i="4"/>
  <c r="L143" i="4"/>
  <c r="N142" i="4"/>
  <c r="O142" i="4" s="1"/>
  <c r="Q142" i="4" s="1"/>
  <c r="T71" i="4"/>
  <c r="U71" i="4" s="1"/>
  <c r="V71" i="4" s="1"/>
  <c r="S34" i="4"/>
  <c r="P56" i="4"/>
  <c r="Q73" i="4"/>
  <c r="R73" i="4" s="1"/>
  <c r="T53" i="4"/>
  <c r="U53" i="4" s="1"/>
  <c r="V53" i="4" s="1"/>
  <c r="N152" i="4"/>
  <c r="O152" i="4" s="1"/>
  <c r="P152" i="4" s="1"/>
  <c r="N139" i="4"/>
  <c r="O139" i="4" s="1"/>
  <c r="T139" i="4" s="1"/>
  <c r="U139" i="4" s="1"/>
  <c r="V139" i="4" s="1"/>
  <c r="T55" i="4"/>
  <c r="U55" i="4" s="1"/>
  <c r="V55" i="4" s="1"/>
  <c r="N130" i="4"/>
  <c r="O130" i="4" s="1"/>
  <c r="Q130" i="4" s="1"/>
  <c r="P71" i="4"/>
  <c r="R71" i="4" s="1"/>
  <c r="T34" i="4"/>
  <c r="U34" i="4" s="1"/>
  <c r="V34" i="4" s="1"/>
  <c r="Q56" i="4"/>
  <c r="N129" i="4"/>
  <c r="O129" i="4" s="1"/>
  <c r="P129" i="4" s="1"/>
  <c r="T80" i="4"/>
  <c r="U80" i="4" s="1"/>
  <c r="V80" i="4" s="1"/>
  <c r="L135" i="4"/>
  <c r="P55" i="4"/>
  <c r="N135" i="4"/>
  <c r="O135" i="4" s="1"/>
  <c r="T135" i="4" s="1"/>
  <c r="U135" i="4" s="1"/>
  <c r="V135" i="4" s="1"/>
  <c r="Q34" i="4"/>
  <c r="R34" i="4" s="1"/>
  <c r="N146" i="4"/>
  <c r="O146" i="4" s="1"/>
  <c r="Q146" i="4" s="1"/>
  <c r="N143" i="4"/>
  <c r="O143" i="4" s="1"/>
  <c r="P143" i="4" s="1"/>
  <c r="N128" i="4"/>
  <c r="O128" i="4" s="1"/>
  <c r="Q128" i="4" s="1"/>
  <c r="N124" i="4"/>
  <c r="O124" i="4" s="1"/>
  <c r="P124" i="4" s="1"/>
  <c r="Q80" i="4"/>
  <c r="Q55" i="4"/>
  <c r="T76" i="4"/>
  <c r="U76" i="4" s="1"/>
  <c r="V76" i="4" s="1"/>
  <c r="N138" i="4"/>
  <c r="O138" i="4" s="1"/>
  <c r="P138" i="4" s="1"/>
  <c r="T120" i="4"/>
  <c r="U120" i="4" s="1"/>
  <c r="V120" i="4" s="1"/>
  <c r="T106" i="4"/>
  <c r="U106" i="4" s="1"/>
  <c r="V106" i="4" s="1"/>
  <c r="Q95" i="4"/>
  <c r="R95" i="4" s="1"/>
  <c r="S99" i="4"/>
  <c r="Q120" i="4"/>
  <c r="T99" i="4"/>
  <c r="U99" i="4" s="1"/>
  <c r="V99" i="4" s="1"/>
  <c r="P120" i="4"/>
  <c r="P106" i="4"/>
  <c r="Q110" i="4"/>
  <c r="T38" i="4"/>
  <c r="U38" i="4" s="1"/>
  <c r="V38" i="4" s="1"/>
  <c r="F138" i="4"/>
  <c r="C138" i="4" s="1"/>
  <c r="P99" i="4"/>
  <c r="R99" i="4" s="1"/>
  <c r="T63" i="4"/>
  <c r="U63" i="4" s="1"/>
  <c r="V63" i="4" s="1"/>
  <c r="T110" i="4"/>
  <c r="U110" i="4" s="1"/>
  <c r="V110" i="4" s="1"/>
  <c r="Q38" i="4"/>
  <c r="T121" i="4"/>
  <c r="U121" i="4" s="1"/>
  <c r="V121" i="4" s="1"/>
  <c r="Q93" i="4"/>
  <c r="T119" i="4"/>
  <c r="U119" i="4" s="1"/>
  <c r="V119" i="4" s="1"/>
  <c r="Q117" i="4"/>
  <c r="Q62" i="4"/>
  <c r="L133" i="4"/>
  <c r="P98" i="4"/>
  <c r="T100" i="4"/>
  <c r="U100" i="4" s="1"/>
  <c r="V100" i="4" s="1"/>
  <c r="T26" i="4"/>
  <c r="U26" i="4" s="1"/>
  <c r="V26" i="4" s="1"/>
  <c r="T98" i="4"/>
  <c r="U98" i="4" s="1"/>
  <c r="V98" i="4" s="1"/>
  <c r="Q105" i="4"/>
  <c r="P100" i="4"/>
  <c r="F127" i="4"/>
  <c r="C127" i="4" s="1"/>
  <c r="P68" i="4"/>
  <c r="Q26" i="4"/>
  <c r="Q98" i="4"/>
  <c r="T105" i="4"/>
  <c r="U105" i="4" s="1"/>
  <c r="V105" i="4" s="1"/>
  <c r="N133" i="4"/>
  <c r="O133" i="4" s="1"/>
  <c r="S133" i="4" s="1"/>
  <c r="Q100" i="4"/>
  <c r="T68" i="4"/>
  <c r="U68" i="4" s="1"/>
  <c r="V68" i="4" s="1"/>
  <c r="Q45" i="4"/>
  <c r="T62" i="4"/>
  <c r="U62" i="4" s="1"/>
  <c r="V62" i="4" s="1"/>
  <c r="S76" i="4"/>
  <c r="S95" i="4"/>
  <c r="S74" i="4"/>
  <c r="S121" i="4"/>
  <c r="T74" i="4"/>
  <c r="U74" i="4" s="1"/>
  <c r="V74" i="4" s="1"/>
  <c r="P53" i="4"/>
  <c r="Q76" i="4"/>
  <c r="R76" i="4" s="1"/>
  <c r="T95" i="4"/>
  <c r="U95" i="4" s="1"/>
  <c r="V95" i="4" s="1"/>
  <c r="P74" i="4"/>
  <c r="R74" i="4" s="1"/>
  <c r="Q121" i="4"/>
  <c r="R121" i="4" s="1"/>
  <c r="N154" i="4"/>
  <c r="O154" i="4" s="1"/>
  <c r="Q154" i="4" s="1"/>
  <c r="Q53" i="4"/>
  <c r="N127" i="4"/>
  <c r="O127" i="4" s="1"/>
  <c r="P127" i="4" s="1"/>
  <c r="P67" i="4"/>
  <c r="P26" i="4"/>
  <c r="D13" i="3"/>
  <c r="E13" i="3"/>
  <c r="R81" i="4"/>
  <c r="T148" i="4"/>
  <c r="U148" i="4" s="1"/>
  <c r="V148" i="4" s="1"/>
  <c r="C148" i="4"/>
  <c r="C149" i="4"/>
  <c r="R43" i="4"/>
  <c r="C133" i="4"/>
  <c r="T147" i="4"/>
  <c r="U147" i="4" s="1"/>
  <c r="V147" i="4" s="1"/>
  <c r="C147" i="4"/>
  <c r="C151" i="4"/>
  <c r="C153" i="4"/>
  <c r="C143" i="4"/>
  <c r="C135" i="4"/>
  <c r="C139" i="4"/>
  <c r="R92" i="4"/>
  <c r="C134" i="4"/>
  <c r="C145" i="4"/>
  <c r="R46" i="4"/>
  <c r="C137" i="4"/>
  <c r="Q148" i="4"/>
  <c r="P148" i="4"/>
  <c r="S148" i="4"/>
  <c r="Q147" i="4"/>
  <c r="P147" i="4"/>
  <c r="S147" i="4"/>
  <c r="C146" i="4"/>
  <c r="C141" i="4"/>
  <c r="R35" i="4"/>
  <c r="C144" i="4"/>
  <c r="R33" i="4" l="1"/>
  <c r="T153" i="4"/>
  <c r="U153" i="4" s="1"/>
  <c r="V153" i="4" s="1"/>
  <c r="S153" i="4"/>
  <c r="P153" i="4"/>
  <c r="R153" i="4" s="1"/>
  <c r="S136" i="4"/>
  <c r="P136" i="4"/>
  <c r="R136" i="4" s="1"/>
  <c r="T136" i="4"/>
  <c r="U136" i="4" s="1"/>
  <c r="V136" i="4" s="1"/>
  <c r="R97" i="4"/>
  <c r="R64" i="4"/>
  <c r="R91" i="4"/>
  <c r="S141" i="4"/>
  <c r="R96" i="4"/>
  <c r="T151" i="4"/>
  <c r="U151" i="4" s="1"/>
  <c r="V151" i="4" s="1"/>
  <c r="R94" i="4"/>
  <c r="S151" i="4"/>
  <c r="P151" i="4"/>
  <c r="R151" i="4" s="1"/>
  <c r="R31" i="4"/>
  <c r="T149" i="4"/>
  <c r="U149" i="4" s="1"/>
  <c r="V149" i="4" s="1"/>
  <c r="Q141" i="4"/>
  <c r="P141" i="4"/>
  <c r="R48" i="4"/>
  <c r="R36" i="4"/>
  <c r="Q150" i="4"/>
  <c r="R150" i="4" s="1"/>
  <c r="S149" i="4"/>
  <c r="Q149" i="4"/>
  <c r="R149" i="4" s="1"/>
  <c r="R51" i="4"/>
  <c r="R115" i="4"/>
  <c r="R75" i="4"/>
  <c r="T150" i="4"/>
  <c r="U150" i="4" s="1"/>
  <c r="V150" i="4" s="1"/>
  <c r="S150" i="4"/>
  <c r="R37" i="4"/>
  <c r="R54" i="4"/>
  <c r="R108" i="4"/>
  <c r="R78" i="4"/>
  <c r="R109" i="4"/>
  <c r="R60" i="4"/>
  <c r="R68" i="4"/>
  <c r="R28" i="4"/>
  <c r="R114" i="4"/>
  <c r="T144" i="4"/>
  <c r="U144" i="4" s="1"/>
  <c r="V144" i="4" s="1"/>
  <c r="Q144" i="4"/>
  <c r="R144" i="4" s="1"/>
  <c r="R80" i="4"/>
  <c r="S144" i="4"/>
  <c r="R32" i="4"/>
  <c r="R47" i="4"/>
  <c r="R122" i="4"/>
  <c r="R66" i="4"/>
  <c r="P145" i="4"/>
  <c r="S145" i="4"/>
  <c r="Q145" i="4"/>
  <c r="R70" i="4"/>
  <c r="R90" i="4"/>
  <c r="R50" i="4"/>
  <c r="R69" i="4"/>
  <c r="R42" i="4"/>
  <c r="R39" i="4"/>
  <c r="R72" i="4"/>
  <c r="R79" i="4"/>
  <c r="R113" i="4"/>
  <c r="R89" i="4"/>
  <c r="R77" i="4"/>
  <c r="R45" i="4"/>
  <c r="R87" i="4"/>
  <c r="R61" i="4"/>
  <c r="R58" i="4"/>
  <c r="R40" i="4"/>
  <c r="R123" i="4"/>
  <c r="W123" i="4" s="1"/>
  <c r="R59" i="4"/>
  <c r="R111" i="4"/>
  <c r="R38" i="4"/>
  <c r="R117" i="4"/>
  <c r="T146" i="4"/>
  <c r="U146" i="4" s="1"/>
  <c r="V146" i="4" s="1"/>
  <c r="R63" i="4"/>
  <c r="T143" i="4"/>
  <c r="U143" i="4" s="1"/>
  <c r="V143" i="4" s="1"/>
  <c r="R49" i="4"/>
  <c r="R107" i="4"/>
  <c r="P140" i="4"/>
  <c r="R112" i="4"/>
  <c r="T132" i="4"/>
  <c r="U132" i="4" s="1"/>
  <c r="V132" i="4" s="1"/>
  <c r="R65" i="4"/>
  <c r="T140" i="4"/>
  <c r="U140" i="4" s="1"/>
  <c r="V140" i="4" s="1"/>
  <c r="Q140" i="4"/>
  <c r="R67" i="4"/>
  <c r="R85" i="4"/>
  <c r="R86" i="4"/>
  <c r="S126" i="4"/>
  <c r="Q126" i="4"/>
  <c r="R126" i="4" s="1"/>
  <c r="S132" i="4"/>
  <c r="P132" i="4"/>
  <c r="Q132" i="4"/>
  <c r="T126" i="4"/>
  <c r="U126" i="4" s="1"/>
  <c r="V126" i="4" s="1"/>
  <c r="R116" i="4"/>
  <c r="P137" i="4"/>
  <c r="R137" i="4" s="1"/>
  <c r="T137" i="4"/>
  <c r="U137" i="4" s="1"/>
  <c r="V137" i="4" s="1"/>
  <c r="S137" i="4"/>
  <c r="R83" i="4"/>
  <c r="R82" i="4"/>
  <c r="C126" i="4"/>
  <c r="S135" i="4"/>
  <c r="Q135" i="4"/>
  <c r="Q152" i="4"/>
  <c r="R152" i="4" s="1"/>
  <c r="T134" i="4"/>
  <c r="U134" i="4" s="1"/>
  <c r="V134" i="4" s="1"/>
  <c r="P135" i="4"/>
  <c r="S139" i="4"/>
  <c r="P139" i="4"/>
  <c r="Q139" i="4"/>
  <c r="S146" i="4"/>
  <c r="P146" i="4"/>
  <c r="R146" i="4" s="1"/>
  <c r="S134" i="4"/>
  <c r="P134" i="4"/>
  <c r="R134" i="4" s="1"/>
  <c r="R104" i="4"/>
  <c r="R103" i="4"/>
  <c r="R29" i="4"/>
  <c r="S125" i="4"/>
  <c r="P125" i="4"/>
  <c r="R125" i="4" s="1"/>
  <c r="R120" i="4"/>
  <c r="R118" i="4"/>
  <c r="R93" i="4"/>
  <c r="R119" i="4"/>
  <c r="S124" i="4"/>
  <c r="Q124" i="4"/>
  <c r="R124" i="4" s="1"/>
  <c r="T154" i="4"/>
  <c r="U154" i="4" s="1"/>
  <c r="V154" i="4" s="1"/>
  <c r="S143" i="4"/>
  <c r="Q143" i="4"/>
  <c r="R143" i="4" s="1"/>
  <c r="T124" i="4"/>
  <c r="U124" i="4" s="1"/>
  <c r="V124" i="4" s="1"/>
  <c r="T130" i="4"/>
  <c r="U130" i="4" s="1"/>
  <c r="V130" i="4" s="1"/>
  <c r="C130" i="4"/>
  <c r="R44" i="4"/>
  <c r="S128" i="4"/>
  <c r="P128" i="4"/>
  <c r="R128" i="4" s="1"/>
  <c r="S130" i="4"/>
  <c r="R101" i="4"/>
  <c r="P130" i="4"/>
  <c r="R130" i="4" s="1"/>
  <c r="R98" i="4"/>
  <c r="R110" i="4"/>
  <c r="R62" i="4"/>
  <c r="R105" i="4"/>
  <c r="R106" i="4"/>
  <c r="T128" i="4"/>
  <c r="U128" i="4" s="1"/>
  <c r="V128" i="4" s="1"/>
  <c r="R30" i="4"/>
  <c r="T155" i="4"/>
  <c r="U155" i="4" s="1"/>
  <c r="V155" i="4" s="1"/>
  <c r="T152" i="4"/>
  <c r="U152" i="4" s="1"/>
  <c r="V152" i="4" s="1"/>
  <c r="T125" i="4"/>
  <c r="U125" i="4" s="1"/>
  <c r="V125" i="4" s="1"/>
  <c r="C128" i="4"/>
  <c r="S152" i="4"/>
  <c r="Q133" i="4"/>
  <c r="P133" i="4"/>
  <c r="R100" i="4"/>
  <c r="R26" i="4"/>
  <c r="W26" i="4" s="1"/>
  <c r="W27" i="4" s="1"/>
  <c r="T142" i="4"/>
  <c r="U142" i="4" s="1"/>
  <c r="V142" i="4" s="1"/>
  <c r="T129" i="4"/>
  <c r="U129" i="4" s="1"/>
  <c r="V129" i="4" s="1"/>
  <c r="S142" i="4"/>
  <c r="C142" i="4"/>
  <c r="P142" i="4"/>
  <c r="R142" i="4" s="1"/>
  <c r="S129" i="4"/>
  <c r="Q129" i="4"/>
  <c r="R129" i="4" s="1"/>
  <c r="R55" i="4"/>
  <c r="R84" i="4"/>
  <c r="R88" i="4"/>
  <c r="R53" i="4"/>
  <c r="R56" i="4"/>
  <c r="T127" i="4"/>
  <c r="U127" i="4" s="1"/>
  <c r="V127" i="4" s="1"/>
  <c r="S155" i="4"/>
  <c r="P155" i="4"/>
  <c r="R155" i="4" s="1"/>
  <c r="T133" i="4"/>
  <c r="U133" i="4" s="1"/>
  <c r="V133" i="4" s="1"/>
  <c r="S127" i="4"/>
  <c r="S131" i="4"/>
  <c r="T138" i="4"/>
  <c r="U138" i="4" s="1"/>
  <c r="V138" i="4" s="1"/>
  <c r="S138" i="4"/>
  <c r="Q127" i="4"/>
  <c r="R127" i="4" s="1"/>
  <c r="Q131" i="4"/>
  <c r="R131" i="4" s="1"/>
  <c r="S154" i="4"/>
  <c r="Q138" i="4"/>
  <c r="R138" i="4" s="1"/>
  <c r="T131" i="4"/>
  <c r="U131" i="4" s="1"/>
  <c r="V131" i="4" s="1"/>
  <c r="P154" i="4"/>
  <c r="R154" i="4" s="1"/>
  <c r="R148" i="4"/>
  <c r="W148" i="4" s="1"/>
  <c r="R147" i="4"/>
  <c r="W147" i="4" s="1"/>
  <c r="W136" i="4" l="1"/>
  <c r="W153" i="4"/>
  <c r="W151" i="4"/>
  <c r="R141" i="4"/>
  <c r="W141" i="4" s="1"/>
  <c r="W149" i="4"/>
  <c r="W150" i="4"/>
  <c r="R145" i="4"/>
  <c r="W145" i="4" s="1"/>
  <c r="W144" i="4"/>
  <c r="R140" i="4"/>
  <c r="W140" i="4" s="1"/>
  <c r="R132" i="4"/>
  <c r="W132" i="4" s="1"/>
  <c r="W137" i="4"/>
  <c r="R139" i="4"/>
  <c r="W139" i="4" s="1"/>
  <c r="R135" i="4"/>
  <c r="W135" i="4" s="1"/>
  <c r="W146" i="4"/>
  <c r="W134" i="4"/>
  <c r="W143" i="4"/>
  <c r="W130" i="4"/>
  <c r="R133" i="4"/>
  <c r="W133" i="4" s="1"/>
  <c r="W28" i="4"/>
  <c r="W29" i="4" s="1"/>
  <c r="W30" i="4" s="1"/>
  <c r="W31" i="4" s="1"/>
  <c r="W32" i="4" s="1"/>
  <c r="W33" i="4" s="1"/>
  <c r="W34" i="4" s="1"/>
  <c r="W35" i="4" s="1"/>
  <c r="W152" i="4"/>
  <c r="W131" i="4"/>
  <c r="W155" i="4"/>
  <c r="W142" i="4"/>
  <c r="W138" i="4"/>
  <c r="W154" i="4"/>
  <c r="W36" i="4" l="1"/>
  <c r="W37" i="4" s="1"/>
  <c r="W38" i="4" l="1"/>
  <c r="W39" i="4" l="1"/>
  <c r="W40" i="4" l="1"/>
  <c r="W41" i="4" s="1"/>
  <c r="W42" i="4" s="1"/>
  <c r="W43" i="4" s="1"/>
  <c r="W44" i="4" l="1"/>
  <c r="W45" i="4" s="1"/>
  <c r="W46" i="4" l="1"/>
  <c r="W47" i="4" l="1"/>
  <c r="W48" i="4" s="1"/>
  <c r="W49" i="4" s="1"/>
  <c r="W50" i="4" l="1"/>
  <c r="W51" i="4" s="1"/>
  <c r="W52" i="4" l="1"/>
  <c r="W53" i="4" l="1"/>
  <c r="W54" i="4" s="1"/>
  <c r="W55" i="4" s="1"/>
  <c r="W56" i="4" s="1"/>
  <c r="W57" i="4" s="1"/>
  <c r="W58" i="4" l="1"/>
  <c r="W59" i="4" l="1"/>
  <c r="W60" i="4" l="1"/>
  <c r="W61" i="4" s="1"/>
  <c r="W62" i="4" s="1"/>
  <c r="W63" i="4" s="1"/>
  <c r="W64" i="4" s="1"/>
  <c r="W65" i="4" s="1"/>
  <c r="W66" i="4" s="1"/>
  <c r="W67" i="4" s="1"/>
  <c r="W68" i="4" l="1"/>
  <c r="W69" i="4" s="1"/>
  <c r="W70" i="4" s="1"/>
  <c r="W71" i="4" s="1"/>
  <c r="W72" i="4" l="1"/>
  <c r="W73" i="4" s="1"/>
  <c r="W74" i="4" s="1"/>
  <c r="W75" i="4" s="1"/>
  <c r="W76" i="4" s="1"/>
  <c r="W77" i="4" l="1"/>
  <c r="W78" i="4" l="1"/>
  <c r="W79" i="4" l="1"/>
  <c r="W80" i="4" s="1"/>
  <c r="W81" i="4" l="1"/>
  <c r="W82" i="4" s="1"/>
  <c r="W83" i="4" s="1"/>
  <c r="W84" i="4" s="1"/>
  <c r="W85" i="4" s="1"/>
  <c r="W86" i="4" l="1"/>
  <c r="W87" i="4" l="1"/>
  <c r="W88" i="4" l="1"/>
  <c r="W89" i="4" l="1"/>
  <c r="W90" i="4" s="1"/>
  <c r="W91" i="4" s="1"/>
  <c r="W92" i="4" l="1"/>
  <c r="W93" i="4" l="1"/>
  <c r="W94" i="4" s="1"/>
  <c r="W95" i="4" s="1"/>
  <c r="W96" i="4" s="1"/>
  <c r="W97" i="4" s="1"/>
  <c r="W98" i="4" l="1"/>
  <c r="W99" i="4" s="1"/>
  <c r="W100" i="4" l="1"/>
  <c r="W101" i="4" s="1"/>
  <c r="W102" i="4" s="1"/>
  <c r="W103" i="4" l="1"/>
  <c r="W104" i="4" s="1"/>
  <c r="W105" i="4" s="1"/>
  <c r="W106" i="4" s="1"/>
  <c r="W107" i="4" s="1"/>
  <c r="W108" i="4" l="1"/>
  <c r="W109" i="4" s="1"/>
  <c r="W110" i="4" l="1"/>
  <c r="W111" i="4" s="1"/>
  <c r="W112" i="4" s="1"/>
  <c r="W113" i="4" s="1"/>
  <c r="W114" i="4" l="1"/>
  <c r="W115" i="4" s="1"/>
  <c r="W116" i="4" s="1"/>
  <c r="W117" i="4" s="1"/>
  <c r="W118" i="4" l="1"/>
  <c r="W119" i="4" s="1"/>
  <c r="W120" i="4" s="1"/>
  <c r="W121" i="4" s="1"/>
  <c r="W122" i="4" s="1"/>
  <c r="W124" i="4" s="1"/>
  <c r="W125" i="4"/>
  <c r="W126" i="4" s="1"/>
  <c r="W127" i="4" s="1"/>
  <c r="W128" i="4" l="1"/>
  <c r="W129" i="4"/>
  <c r="X4" i="4" l="1"/>
  <c r="AC3" i="4"/>
  <c r="Y4" i="4"/>
  <c r="V3" i="4"/>
  <c r="AA3" i="4"/>
  <c r="Z4" i="4"/>
  <c r="AC4" i="4"/>
  <c r="U3" i="4"/>
  <c r="AB3" i="4"/>
  <c r="Y3" i="4"/>
  <c r="U4" i="4"/>
  <c r="T4" i="4"/>
  <c r="T3" i="4"/>
  <c r="AB4" i="4"/>
  <c r="X3" i="4"/>
  <c r="W3" i="4"/>
  <c r="AA4" i="4"/>
  <c r="V4" i="4"/>
  <c r="W4" i="4"/>
  <c r="Z3" i="4"/>
  <c r="AA5" i="4"/>
  <c r="T5" i="4"/>
  <c r="U6" i="4"/>
  <c r="Z5" i="4"/>
  <c r="Y5" i="4"/>
  <c r="V6" i="4"/>
  <c r="U5" i="4"/>
  <c r="AB5" i="4"/>
  <c r="AC5" i="4"/>
  <c r="AC6" i="4"/>
  <c r="V5" i="4"/>
  <c r="W5" i="4"/>
  <c r="Y6" i="4"/>
  <c r="Z6" i="4"/>
  <c r="X5" i="4"/>
  <c r="T6" i="4"/>
  <c r="AB6" i="4"/>
  <c r="X6" i="4"/>
  <c r="W6" i="4"/>
  <c r="AA6" i="4"/>
  <c r="AA12" i="4"/>
  <c r="W20" i="4"/>
  <c r="AB20" i="4"/>
  <c r="W18" i="4"/>
  <c r="Y13" i="4"/>
  <c r="Z22" i="4"/>
  <c r="AC15" i="4"/>
  <c r="AC20" i="4"/>
  <c r="T22" i="4"/>
  <c r="AC14" i="4"/>
  <c r="W10" i="4"/>
  <c r="Y12" i="4"/>
  <c r="Y17" i="4"/>
  <c r="Y21" i="4"/>
  <c r="W16" i="4"/>
  <c r="X16" i="4"/>
  <c r="Y20" i="4"/>
  <c r="V17" i="4"/>
  <c r="U12" i="4"/>
  <c r="AC9" i="4"/>
  <c r="U16" i="4"/>
  <c r="Y7" i="4"/>
  <c r="V22" i="4"/>
  <c r="U11" i="4"/>
  <c r="AB12" i="4"/>
  <c r="AB11" i="4"/>
  <c r="Z10" i="4"/>
  <c r="Y15" i="4"/>
  <c r="Y19" i="4"/>
  <c r="T7" i="4"/>
  <c r="V21" i="4"/>
  <c r="Z9" i="4"/>
  <c r="AA17" i="4"/>
  <c r="AB15" i="4"/>
  <c r="X15" i="4"/>
  <c r="T13" i="4"/>
  <c r="Z17" i="4"/>
  <c r="Y8" i="4"/>
  <c r="Z19" i="4"/>
  <c r="AB10" i="4"/>
  <c r="U18" i="4"/>
  <c r="V9" i="4"/>
  <c r="U9" i="4"/>
  <c r="AC13" i="4"/>
  <c r="U19" i="4"/>
  <c r="Y22" i="4"/>
  <c r="T18" i="4"/>
  <c r="Y18" i="4"/>
  <c r="T14" i="4"/>
  <c r="Y16" i="4"/>
  <c r="V7" i="4"/>
  <c r="AC19" i="4"/>
  <c r="Z18" i="4"/>
  <c r="AB16" i="4"/>
  <c r="V11" i="4"/>
  <c r="AA11" i="4"/>
  <c r="X8" i="4"/>
  <c r="T16" i="4"/>
  <c r="Z14" i="4"/>
  <c r="T17" i="4"/>
  <c r="V10" i="4"/>
  <c r="X12" i="4"/>
  <c r="Y14" i="4"/>
  <c r="AA10" i="4"/>
  <c r="W13" i="4"/>
  <c r="U14" i="4"/>
  <c r="V13" i="4"/>
  <c r="X14" i="4"/>
  <c r="W19" i="4"/>
  <c r="Z16" i="4"/>
  <c r="V15" i="4"/>
  <c r="AA14" i="4"/>
  <c r="X22" i="4"/>
  <c r="AB22" i="4"/>
  <c r="AB21" i="4"/>
  <c r="X11" i="4"/>
  <c r="AB7" i="4"/>
  <c r="U13" i="4"/>
  <c r="U10" i="4"/>
  <c r="AB14" i="4"/>
  <c r="Z7" i="4"/>
  <c r="Z21" i="4"/>
  <c r="T19" i="4"/>
  <c r="X7" i="4"/>
  <c r="Z12" i="4"/>
  <c r="V19" i="4"/>
  <c r="AA7" i="4"/>
  <c r="AC18" i="4"/>
  <c r="W8" i="4"/>
  <c r="T12" i="4"/>
  <c r="W21" i="4"/>
  <c r="AB17" i="4"/>
  <c r="AA20" i="4"/>
  <c r="AC8" i="4"/>
  <c r="AB13" i="4"/>
  <c r="W14" i="4"/>
  <c r="W12" i="4"/>
  <c r="Z13" i="4"/>
  <c r="W7" i="4"/>
  <c r="AC16" i="4"/>
  <c r="AB18" i="4"/>
  <c r="AC10" i="4"/>
  <c r="T11" i="4"/>
  <c r="V14" i="4"/>
  <c r="AC17" i="4"/>
  <c r="X21" i="4"/>
  <c r="AA19" i="4"/>
  <c r="T20" i="4"/>
  <c r="U17" i="4"/>
  <c r="AC11" i="4"/>
  <c r="AC12" i="4"/>
  <c r="V16" i="4"/>
  <c r="U22" i="4"/>
  <c r="T21" i="4"/>
  <c r="C17" i="4"/>
  <c r="AA21" i="4"/>
  <c r="X13" i="4"/>
  <c r="W9" i="4"/>
  <c r="X19" i="4"/>
  <c r="AA9" i="4"/>
  <c r="U21" i="4"/>
  <c r="T9" i="4"/>
  <c r="V18" i="4"/>
  <c r="U20" i="4"/>
  <c r="V12" i="4"/>
  <c r="AA16" i="4"/>
  <c r="Z20" i="4"/>
  <c r="X10" i="4"/>
  <c r="Z11" i="4"/>
  <c r="Y11" i="4"/>
  <c r="W17" i="4"/>
  <c r="X17" i="4"/>
  <c r="X20" i="4"/>
  <c r="T8" i="4"/>
  <c r="AC21" i="4"/>
  <c r="X9" i="4"/>
  <c r="AA15" i="4"/>
  <c r="U7" i="4"/>
  <c r="AA8" i="4"/>
  <c r="W15" i="4"/>
  <c r="Y10" i="4"/>
  <c r="AB8" i="4"/>
  <c r="Z15" i="4"/>
  <c r="AB9" i="4"/>
  <c r="X18" i="4"/>
  <c r="AC22" i="4"/>
  <c r="Y9" i="4"/>
  <c r="AB19" i="4"/>
  <c r="Z8" i="4"/>
  <c r="U15" i="4"/>
  <c r="AA18" i="4"/>
  <c r="U8" i="4"/>
  <c r="AA13" i="4"/>
  <c r="W22" i="4"/>
  <c r="AA22" i="4"/>
  <c r="V8" i="4"/>
  <c r="T10" i="4"/>
  <c r="AC7" i="4"/>
  <c r="T15" i="4"/>
  <c r="V20" i="4"/>
  <c r="W11" i="4"/>
  <c r="E37" i="3" l="1"/>
  <c r="D32" i="3"/>
  <c r="F31" i="3"/>
  <c r="G30" i="3"/>
  <c r="G34" i="3"/>
  <c r="G31" i="3"/>
  <c r="E32" i="3"/>
  <c r="F37" i="3"/>
  <c r="E27" i="3"/>
  <c r="E28" i="3"/>
  <c r="F33" i="3"/>
  <c r="F32" i="3"/>
  <c r="F35" i="3"/>
  <c r="G33" i="3"/>
  <c r="F29" i="3"/>
  <c r="F26" i="3"/>
  <c r="D35" i="3"/>
  <c r="D27" i="3"/>
  <c r="F30" i="3"/>
  <c r="G29" i="3"/>
  <c r="E34" i="3"/>
  <c r="F27" i="3"/>
  <c r="D28" i="3"/>
  <c r="F36" i="3"/>
  <c r="D34" i="3"/>
  <c r="F34" i="3"/>
  <c r="E31" i="3"/>
  <c r="D31" i="3"/>
  <c r="G35" i="3"/>
  <c r="G32" i="3"/>
  <c r="E36" i="3"/>
  <c r="D30" i="3"/>
  <c r="G37" i="3"/>
  <c r="G36" i="3"/>
  <c r="G26" i="3"/>
  <c r="G27" i="3"/>
  <c r="D29" i="3"/>
  <c r="D37" i="3"/>
  <c r="D33" i="3"/>
  <c r="E26" i="3"/>
  <c r="D36" i="3"/>
  <c r="D26" i="3"/>
  <c r="E29" i="3"/>
  <c r="F28" i="3"/>
  <c r="E30" i="3"/>
  <c r="E33" i="3"/>
  <c r="G28" i="3"/>
  <c r="E35" i="3"/>
  <c r="O17" i="4" a="1"/>
  <c r="O17" i="4" s="1"/>
  <c r="D23" i="3" l="1"/>
  <c r="O18" i="4"/>
  <c r="Q17" i="4" s="1"/>
  <c r="O21" i="4"/>
  <c r="O23" i="4"/>
  <c r="O22" i="4"/>
  <c r="I22" i="4" s="1"/>
  <c r="O19" i="4"/>
  <c r="F23" i="3" s="1"/>
  <c r="O20" i="4"/>
  <c r="G23" i="3" s="1"/>
  <c r="K18" i="3" l="1"/>
  <c r="E23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Blom</author>
  </authors>
  <commentList>
    <comment ref="G13" authorId="0" shapeId="0" xr:uid="{12430B1A-3132-4C33-938A-5717D805B709}">
      <text>
        <r>
          <rPr>
            <b/>
            <sz val="9"/>
            <color indexed="81"/>
            <rFont val="Tahoma"/>
            <family val="2"/>
          </rPr>
          <t>Robert Blom:</t>
        </r>
        <r>
          <rPr>
            <sz val="9"/>
            <color indexed="81"/>
            <rFont val="Tahoma"/>
            <family val="2"/>
          </rPr>
          <t xml:space="preserve">
Arm: 46,7mm
Kracht: 21N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<sst xmlns="http://schemas.openxmlformats.org/spreadsheetml/2006/main" count="8779" uniqueCount="289">
  <si>
    <t>ITEM</t>
  </si>
  <si>
    <t>F0 [N]</t>
  </si>
  <si>
    <t>RS [N/mm]</t>
  </si>
  <si>
    <t>DH,min</t>
  </si>
  <si>
    <t>DH,max</t>
  </si>
  <si>
    <t>SELECT,H</t>
  </si>
  <si>
    <t>KG@DH</t>
  </si>
  <si>
    <t>RESULT_ID</t>
  </si>
  <si>
    <t>Input:</t>
  </si>
  <si>
    <t>Vaste gegevens:</t>
  </si>
  <si>
    <t>DH</t>
  </si>
  <si>
    <t>CORRECTION</t>
  </si>
  <si>
    <t>KG</t>
  </si>
  <si>
    <r>
      <t>KG MAX</t>
    </r>
    <r>
      <rPr>
        <sz val="11"/>
        <color theme="1"/>
        <rFont val="Calibri"/>
        <family val="2"/>
      </rPr>
      <t>↑</t>
    </r>
  </si>
  <si>
    <t>VOETJE</t>
  </si>
  <si>
    <t>VEERWEG</t>
  </si>
  <si>
    <t>KG_MAX</t>
  </si>
  <si>
    <t>Resultaat:</t>
  </si>
  <si>
    <t>SPRING</t>
  </si>
  <si>
    <t>opmerkingen</t>
  </si>
  <si>
    <t>Vaste waarde. Eigenschappen van samengestelde veer</t>
  </si>
  <si>
    <t>Keuze van het hoogte bereik. Het kunststof voetje heeft hier invloed op.</t>
  </si>
  <si>
    <t>Door het voetje verschuift je bereik 8mm</t>
  </si>
  <si>
    <t>Keuze op basis van het gewicht mits het in het hoogte bereik valt.</t>
  </si>
  <si>
    <t>Max waarde is RESULT_ID. Als KG&gt;130 dan geen veer</t>
  </si>
  <si>
    <t>KabelX</t>
  </si>
  <si>
    <t>Cable SET</t>
  </si>
  <si>
    <t>115211-1875</t>
  </si>
  <si>
    <t>115211-2000</t>
  </si>
  <si>
    <t>115211-2125</t>
  </si>
  <si>
    <t>115211-2250</t>
  </si>
  <si>
    <t>115211-2375</t>
  </si>
  <si>
    <t>115211-2500</t>
  </si>
  <si>
    <t>115211-2625</t>
  </si>
  <si>
    <t>115211-2750</t>
  </si>
  <si>
    <t>115211-2875</t>
  </si>
  <si>
    <t>115211-3000</t>
  </si>
  <si>
    <t>mm</t>
  </si>
  <si>
    <t>Cable</t>
  </si>
  <si>
    <t>DRUM</t>
  </si>
  <si>
    <t>HMA</t>
  </si>
  <si>
    <t>LMA</t>
  </si>
  <si>
    <t>REV_S</t>
  </si>
  <si>
    <t>Di</t>
  </si>
  <si>
    <t>inactive</t>
  </si>
  <si>
    <t>art nb</t>
  </si>
  <si>
    <t>RESULTS</t>
  </si>
  <si>
    <t>QTY</t>
  </si>
  <si>
    <t>RST</t>
  </si>
  <si>
    <t>ELT</t>
  </si>
  <si>
    <t>MIN DW</t>
  </si>
  <si>
    <t>ZAGEN</t>
  </si>
  <si>
    <t>MASS</t>
  </si>
  <si>
    <t>M76</t>
  </si>
  <si>
    <t>DW</t>
  </si>
  <si>
    <t>Drum</t>
  </si>
  <si>
    <t>M102</t>
  </si>
  <si>
    <t>[-]</t>
  </si>
  <si>
    <t>Weight</t>
  </si>
  <si>
    <t>draad</t>
  </si>
  <si>
    <t>Rm</t>
  </si>
  <si>
    <t>rev</t>
  </si>
  <si>
    <t>Lifetime</t>
  </si>
  <si>
    <t>cycles</t>
  </si>
  <si>
    <t>CCSP</t>
  </si>
  <si>
    <t>SBD-DW</t>
  </si>
  <si>
    <t>CIRF</t>
  </si>
  <si>
    <t>Veerkop</t>
  </si>
  <si>
    <t>mm/veer</t>
  </si>
  <si>
    <t>ODW</t>
  </si>
  <si>
    <t>4veren beugel</t>
  </si>
  <si>
    <t>HMT</t>
  </si>
  <si>
    <t>Nmm</t>
  </si>
  <si>
    <t>DH_not_active</t>
  </si>
  <si>
    <t>extra ruimte</t>
  </si>
  <si>
    <t>LMT</t>
  </si>
  <si>
    <t>SBD torque</t>
  </si>
  <si>
    <t>No cut</t>
  </si>
  <si>
    <t>tol. +</t>
  </si>
  <si>
    <t>turns</t>
  </si>
  <si>
    <t>Center</t>
  </si>
  <si>
    <t>RDT</t>
  </si>
  <si>
    <t>tol. -</t>
  </si>
  <si>
    <t>Ex_Center</t>
  </si>
  <si>
    <t>Min. lifetime Step 1</t>
  </si>
  <si>
    <t>if &gt; …</t>
  </si>
  <si>
    <t>Min. lifetime Step 2</t>
  </si>
  <si>
    <t>elseif &gt; … else &gt; "C8"</t>
  </si>
  <si>
    <t>Results</t>
  </si>
  <si>
    <t>No Cut DW</t>
  </si>
  <si>
    <t>SELECTED RESULT:</t>
  </si>
  <si>
    <t>SELECTED QTY:</t>
  </si>
  <si>
    <t>Density</t>
  </si>
  <si>
    <t>KG/m²</t>
  </si>
  <si>
    <t>SELECTED RST:</t>
  </si>
  <si>
    <t>Additional</t>
  </si>
  <si>
    <t>SELECTED ELT:</t>
  </si>
  <si>
    <t>endcap</t>
  </si>
  <si>
    <t>KG/mtr</t>
  </si>
  <si>
    <t>SELECTED min DW:</t>
  </si>
  <si>
    <t>alu/seal</t>
  </si>
  <si>
    <t>SELECTED BUILD:</t>
  </si>
  <si>
    <t>SELECTED MASS:</t>
  </si>
  <si>
    <t>USE M102</t>
  </si>
  <si>
    <t>D</t>
  </si>
  <si>
    <t>d</t>
  </si>
  <si>
    <t>L</t>
  </si>
  <si>
    <t>nw</t>
  </si>
  <si>
    <t>nw,act</t>
  </si>
  <si>
    <t>MF</t>
  </si>
  <si>
    <t>MB</t>
  </si>
  <si>
    <t>TPST</t>
  </si>
  <si>
    <t>PRE-TURN</t>
  </si>
  <si>
    <t>KG-</t>
  </si>
  <si>
    <t>KG+</t>
  </si>
  <si>
    <t>RUIMTE</t>
  </si>
  <si>
    <t>X</t>
  </si>
  <si>
    <t>[kg]</t>
  </si>
  <si>
    <t>[mm]</t>
  </si>
  <si>
    <t>Art.nb:</t>
  </si>
  <si>
    <t>Turns</t>
  </si>
  <si>
    <t>Other solutions</t>
  </si>
  <si>
    <t>Spring Home-X extension spring</t>
  </si>
  <si>
    <t>Home-F &amp; R torsion spring</t>
  </si>
  <si>
    <t>Spring selection HOME</t>
  </si>
  <si>
    <t>HOME-X Spring SET L=650, 1875_2000 (2,1 / 3,0 / --)</t>
  </si>
  <si>
    <t>HOME-X Spring SET L=650, 1875_2000 (2,3 / 3,0 / --)</t>
  </si>
  <si>
    <t>HOME-X Spring SET L=650, 1875_2000 (2,1 / 3,2 / --)</t>
  </si>
  <si>
    <t>HOME-X Spring SET L=650, 1875_2000 (2,3 / 3,2 / --)</t>
  </si>
  <si>
    <t>HOME-X Spring SET L=650, 1875_2000 (2,1 / 3,4 / --)</t>
  </si>
  <si>
    <t>HOME-X Spring SET L=650, 1875_2000 (2,3 / 3,4 / --)</t>
  </si>
  <si>
    <t>HOME-X Spring SET L=650, 1875_2000 (-- / 3,4 / 3,8)</t>
  </si>
  <si>
    <t>HOME-X Spring SET L=650, 1875_2000 (-- / 3,4 / 4,0)</t>
  </si>
  <si>
    <t>HOME-X Spring SET L=650, 1875_2000 (-- / 3,4 / 4,3)</t>
  </si>
  <si>
    <t>HOME-X Spring SET L=650, 1875_2000 (2,1 / 3,4 / 4,3)</t>
  </si>
  <si>
    <t>HOME-X Spring SET L=650, 1875_2000 (2,1 / 3,4 / 4,5)</t>
  </si>
  <si>
    <t>HOME-X Spring SET L=735, 2125_2250 (2,3 / 2,8 / --)</t>
  </si>
  <si>
    <t>HOME-X Spring SET L=735, 2125_2250 (1,9 / 3,2 / --)</t>
  </si>
  <si>
    <t>HOME-X Spring SET L=735 (42-48_45-51)</t>
  </si>
  <si>
    <t>HOME-X Spring SET L=735, 2125_2250 (1,9 / 3,4 / --)</t>
  </si>
  <si>
    <t>HOME-X Spring SET L=735, 2125_2250 (2,1 / 3,4 / --)</t>
  </si>
  <si>
    <t>HOME-X Spring SET L=735, 2125_2250 (2,3 / 3,4 / --)</t>
  </si>
  <si>
    <t>HOME-X Spring SET L=735, 2125_2250 (-- / 3,4 / 3,8)</t>
  </si>
  <si>
    <t>HOME-X Spring SET L=735, 2125_2250 (-- / 3,2 / 4,3)</t>
  </si>
  <si>
    <t>HOME-X Spring SET L=735, 2125_2250 (-- / 3,4 / 4,3)</t>
  </si>
  <si>
    <t>HOME-X Spring SET L=735, 2125_2250 (2,1 / 3,4 / 4,3)</t>
  </si>
  <si>
    <t>HOME-X Spring SET L=735, 2125_2250 (2,0 / 3,4 / 4,5)</t>
  </si>
  <si>
    <t>HOME-X Spring SET L=820, 2375_2500 (1,9 / 3,2 / --)</t>
  </si>
  <si>
    <t>HOME-X Spring SET L=820, 2375_2500 (2,1 / 3,2 / --)</t>
  </si>
  <si>
    <t>HOME-X Spring SET L=820, 2375_2500 (1,9 / 3,4 / --)</t>
  </si>
  <si>
    <t>HOME-X Spring SET L=820, 2375_2500 (2,1 / 3,4 / --)</t>
  </si>
  <si>
    <t>HOME-X Spring SET L=820, 2375_2500 (-- / 3,2 / 3,8)</t>
  </si>
  <si>
    <t>HOME-X Spring SET L=820, 2375_2500 (-- / 3,2 / 4,0)</t>
  </si>
  <si>
    <t>HOME-X Spring SET L=820, 2375_2500 (-- / 3,4 / 3,8)</t>
  </si>
  <si>
    <t>HOME-X Spring SET L=820, 2375_2500 (-- / 3,2 / 4,3)</t>
  </si>
  <si>
    <t>HOME-X Spring SET L=820, 2375_2500 (-- / 3,4 / 4,3)</t>
  </si>
  <si>
    <t>HOME-X Spring SET L=820, 2375_2500 (2,1 / 3,4 / 4,3)</t>
  </si>
  <si>
    <t>HOME-X Spring SET L=820, 2375_2500 (2,0 / 3,4 / 4,5)</t>
  </si>
  <si>
    <t>HOME-X Spring SET L=905, 2625_2750 (2,0 / 3,2 / --)</t>
  </si>
  <si>
    <t>HOME-X Spring SET L=905, 2625_2750 (2,1 / 3,2 / --)</t>
  </si>
  <si>
    <t>HOME-X Spring SET L=905, 2625_2750 (2,3 / 3,2 / --)</t>
  </si>
  <si>
    <t>HOME-X Spring SET L=905, 2625_2750 (2,1 / 3,4 / --)</t>
  </si>
  <si>
    <t>HOME-X Spring SET L=905, 2625_2750 (2,3 / 3,4 / --)</t>
  </si>
  <si>
    <t>HOME-X Spring SET L=905, 2625_2750 (-- / 3,4 / 3,8)</t>
  </si>
  <si>
    <t>HOME-X Spring SET L=905, 2625_2750 (-- / 3,2 / 4,3)</t>
  </si>
  <si>
    <t>HOME-X Spring SET L=905, 2625_2750 (-- / 3,4 / 4,3)</t>
  </si>
  <si>
    <t>HOME-X Spring SET L=905, 2625_2750 (2,1 / 3,4 / 4,3)</t>
  </si>
  <si>
    <t>HOME-X Spring SET L=905, 2625_2750 (2,0 / 3,4 / 4,5)</t>
  </si>
  <si>
    <t>HOME-X Spring SET L=990, 2875_3000 (2,0 / 3,2 / --)</t>
  </si>
  <si>
    <t>HOME-X Spring SET L=990, 2875_3000 (2,1 / 3,2 / --)</t>
  </si>
  <si>
    <t>HOME-X Spring SET L=990, 2875_3000 (2,3 / 3,2 / --)</t>
  </si>
  <si>
    <t>HOME-X Spring SET L=990, 2875_3000 (2,1 / 3,4 / --)</t>
  </si>
  <si>
    <t>HOME-X Spring SET L=990, 2875_3000 (2,3 / 3,4 / --)</t>
  </si>
  <si>
    <t>HOME-X Spring SET L=990, 2875_3000 (-- / 3,4 / 3,8)</t>
  </si>
  <si>
    <t>HOME-X Spring SET L=990, 2875_3000 (-- / 3,2 / 4,3)</t>
  </si>
  <si>
    <t>HOME-X Spring SET L=990, 2875_3000 (-- / 3,4 / 4,3)</t>
  </si>
  <si>
    <t>HOME-X Spring SET L=990, 2875_3000 (2,1 / 3,4 / 4,3)</t>
  </si>
  <si>
    <t>HOME-X Spring SET L=990, 2875_3000 (2,0 / 3,4 / 4,5)</t>
  </si>
  <si>
    <t>Description</t>
  </si>
  <si>
    <t>DH-KG</t>
  </si>
  <si>
    <t>Qty set</t>
  </si>
  <si>
    <t>Calculated with drum diameter M102</t>
  </si>
  <si>
    <t>expiration date</t>
  </si>
  <si>
    <t>today</t>
  </si>
  <si>
    <t>release date</t>
  </si>
  <si>
    <t>days</t>
  </si>
  <si>
    <t>warning</t>
  </si>
  <si>
    <t>www.doco-international.com/en/support</t>
  </si>
  <si>
    <t xml:space="preserve">Please check if you have the latest version.  </t>
  </si>
  <si>
    <t>This file is more than one year old.</t>
  </si>
  <si>
    <t>as zaag instuctie</t>
  </si>
  <si>
    <t>3295006632 (2)</t>
  </si>
  <si>
    <t>3295006192 (2)</t>
  </si>
  <si>
    <t>3295005762 (2)</t>
  </si>
  <si>
    <t>3295005332 (2)</t>
  </si>
  <si>
    <t>3295004902 (2)</t>
  </si>
  <si>
    <t>3295004482 (2)</t>
  </si>
  <si>
    <t>3295305512 (2)</t>
  </si>
  <si>
    <t>3295305032 (2)</t>
  </si>
  <si>
    <t>3295505412 (2)</t>
  </si>
  <si>
    <t>3296007112 (2)</t>
  </si>
  <si>
    <t>3296006482 (2)</t>
  </si>
  <si>
    <t>3296508382 (2)</t>
  </si>
  <si>
    <t>3296507632 (2)</t>
  </si>
  <si>
    <t>3397008372 (2)</t>
  </si>
  <si>
    <t>3295305032 (4)</t>
  </si>
  <si>
    <t>3295505412 (4)</t>
  </si>
  <si>
    <t>3296007752 (2)</t>
  </si>
  <si>
    <t>3295306002 (2)</t>
  </si>
  <si>
    <t>3295505932 (2)</t>
  </si>
  <si>
    <t>3296008382 (2)</t>
  </si>
  <si>
    <t>3296509132 (2)</t>
  </si>
  <si>
    <t>3295305512 (4)</t>
  </si>
  <si>
    <t>3296509892 (2)</t>
  </si>
  <si>
    <t>3397009062 (2)</t>
  </si>
  <si>
    <t>3295306492 (2)</t>
  </si>
  <si>
    <t>3295506462 (2)</t>
  </si>
  <si>
    <t>3296009022 (2)</t>
  </si>
  <si>
    <t>3296510642 (2)</t>
  </si>
  <si>
    <t>3397009752 (2)</t>
  </si>
  <si>
    <t>3295306972 (2)</t>
  </si>
  <si>
    <t>3295506982 (2)</t>
  </si>
  <si>
    <t>3296009662 (2)</t>
  </si>
  <si>
    <t>3296511402 (2)</t>
  </si>
  <si>
    <t>3295507512 (2)</t>
  </si>
  <si>
    <t>3397010442 (2)</t>
  </si>
  <si>
    <t>3295307462 (2)</t>
  </si>
  <si>
    <t>3296010302 (2)</t>
  </si>
  <si>
    <t>3296010942 (2)</t>
  </si>
  <si>
    <t>3296512162 (2)</t>
  </si>
  <si>
    <t>3295508042 (2)</t>
  </si>
  <si>
    <t>3397011132 (2)</t>
  </si>
  <si>
    <t>3295307952 (2)</t>
  </si>
  <si>
    <t>3295508572 (2)</t>
  </si>
  <si>
    <t>3396009112 (2)</t>
  </si>
  <si>
    <t>3396510182 (2)</t>
  </si>
  <si>
    <t>3397011832 (2)</t>
  </si>
  <si>
    <t>3396510772 (2)</t>
  </si>
  <si>
    <t>3396009612 (2)</t>
  </si>
  <si>
    <t>3396511372 (2)</t>
  </si>
  <si>
    <t>3397012522 (2)</t>
  </si>
  <si>
    <t>3296007112 (4)</t>
  </si>
  <si>
    <t>3296006482 (4)</t>
  </si>
  <si>
    <t>3296508382 (4)</t>
  </si>
  <si>
    <t>3296507632 (4)</t>
  </si>
  <si>
    <t>3397008372 (4)</t>
  </si>
  <si>
    <t>3296007752 (4)</t>
  </si>
  <si>
    <t>3295505932 (4)</t>
  </si>
  <si>
    <t>3296008382 (4)</t>
  </si>
  <si>
    <t>3296509132 (4)</t>
  </si>
  <si>
    <t>3296509892 (4)</t>
  </si>
  <si>
    <t>3295506462 (4)</t>
  </si>
  <si>
    <t>3296009022 (4)</t>
  </si>
  <si>
    <t>3296510642 (4)</t>
  </si>
  <si>
    <t>3397009752 (4)</t>
  </si>
  <si>
    <t>3397009062 (4)</t>
  </si>
  <si>
    <t>3296511402 (4)</t>
  </si>
  <si>
    <t>3295506982 (4)</t>
  </si>
  <si>
    <t>3296009662 (4)</t>
  </si>
  <si>
    <t>3397010442 (4)</t>
  </si>
  <si>
    <t>3296010302 (4)</t>
  </si>
  <si>
    <t>3296512162 (4)</t>
  </si>
  <si>
    <t>3397011132 (4)</t>
  </si>
  <si>
    <t>3295507512 (4)</t>
  </si>
  <si>
    <t>3296010942 (4)</t>
  </si>
  <si>
    <t>3396510182 (4)</t>
  </si>
  <si>
    <t>3396510772 (4)</t>
  </si>
  <si>
    <t>3397011832 (4)</t>
  </si>
  <si>
    <t>3295508042 (4)</t>
  </si>
  <si>
    <t>3396009112 (4)</t>
  </si>
  <si>
    <t>3396511372 (4)</t>
  </si>
  <si>
    <t>3396009612 (4)</t>
  </si>
  <si>
    <t>3295508572 (4)</t>
  </si>
  <si>
    <t>HOME Cable set 2 mm for doorheight 1875 mm</t>
  </si>
  <si>
    <t>HOME Cable set 2 mm for doorheight 2000 mm</t>
  </si>
  <si>
    <t>HOME Cable set 2 mm for doorheight 2125 mm</t>
  </si>
  <si>
    <t>HOME Cable set 2 mm for doorheight 2250 mm</t>
  </si>
  <si>
    <t>HOME Cable set 2 mm for doorheight 2375 mm</t>
  </si>
  <si>
    <t>HOME Cable set 2 mm for doorheight 2500 mm</t>
  </si>
  <si>
    <t>HOME Cable set 2 mm for doorheight 2625 mm</t>
  </si>
  <si>
    <t>HOME Cable set 2 mm for doorheight 2750 mm</t>
  </si>
  <si>
    <t>HOME Cable set 2 mm for doorheight 2875 mm</t>
  </si>
  <si>
    <t>HOME Cable set 2 mm for doorheight 3000 mm</t>
  </si>
  <si>
    <t>Versie</t>
  </si>
  <si>
    <t>V1.1</t>
  </si>
  <si>
    <t>1.0</t>
  </si>
  <si>
    <t>start</t>
  </si>
  <si>
    <t>1.1</t>
  </si>
  <si>
    <t>Kabelset Home-X toegevoegd op verzoek van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</si>
</sst>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&quot;\ #,##0.00"/>
    <numFmt numFmtId="165" formatCode="0.0"/>
    <numFmt numFmtId="166" formatCode="0.000"/>
  </numFmts>
  <fonts count="20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b/>
      <sz val="18"/>
      <color rgb="FF1E2A50"/>
      <name val="Calibri"/>
      <family val="2"/>
      <scheme val="minor"/>
    </font>
    <font>
      <b/>
      <sz val="11"/>
      <color rgb="FF1E2A50"/>
      <name val="Calibri"/>
      <family val="2"/>
      <scheme val="minor"/>
    </font>
    <font>
      <sz val="11"/>
      <color rgb="FF1E2A50"/>
      <name val="Calibri"/>
      <family val="2"/>
      <scheme val="minor"/>
    </font>
    <font>
      <b/>
      <sz val="14"/>
      <color rgb="FF1E2A50"/>
      <name val="Calibri"/>
      <family val="2"/>
      <scheme val="minor"/>
    </font>
    <font>
      <sz val="11"/>
      <color rgb="FFA3B2C9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1E2A50"/>
        <bgColor indexed="64"/>
      </patternFill>
    </fill>
    <fill>
      <patternFill patternType="solid">
        <fgColor rgb="FFA3B2C9"/>
        <bgColor indexed="64"/>
      </patternFill>
    </fill>
  </fills>
  <borders count="4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 style="thin">
        <color rgb="FF3F3F3F"/>
      </left>
      <right style="thin">
        <color rgb="FF3F3F3F"/>
      </right>
      <top style="medium">
        <color rgb="FFFF0000"/>
      </top>
      <bottom style="thin">
        <color rgb="FF3F3F3F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ck">
        <color rgb="FF1E2A50"/>
      </left>
      <right/>
      <top style="thick">
        <color rgb="FF1E2A50"/>
      </top>
      <bottom style="thick">
        <color rgb="FF1E2A50"/>
      </bottom>
      <diagonal/>
    </border>
    <border>
      <left/>
      <right/>
      <top style="thick">
        <color rgb="FF1E2A50"/>
      </top>
      <bottom style="thick">
        <color rgb="FF1E2A50"/>
      </bottom>
      <diagonal/>
    </border>
    <border>
      <left/>
      <right style="thick">
        <color rgb="FF1E2A50"/>
      </right>
      <top style="thick">
        <color rgb="FF1E2A50"/>
      </top>
      <bottom style="thick">
        <color rgb="FF1E2A50"/>
      </bottom>
      <diagonal/>
    </border>
    <border>
      <left style="thick">
        <color rgb="FFA3B2C9"/>
      </left>
      <right/>
      <top style="thick">
        <color rgb="FF1E2A50"/>
      </top>
      <bottom/>
      <diagonal/>
    </border>
    <border>
      <left/>
      <right/>
      <top style="thick">
        <color rgb="FF1E2A50"/>
      </top>
      <bottom/>
      <diagonal/>
    </border>
    <border>
      <left/>
      <right style="thick">
        <color rgb="FFA3B2C9"/>
      </right>
      <top style="thick">
        <color rgb="FF1E2A50"/>
      </top>
      <bottom/>
      <diagonal/>
    </border>
    <border>
      <left style="thick">
        <color rgb="FFA3B2C9"/>
      </left>
      <right/>
      <top/>
      <bottom/>
      <diagonal/>
    </border>
    <border>
      <left/>
      <right style="thick">
        <color rgb="FFA3B2C9"/>
      </right>
      <top/>
      <bottom/>
      <diagonal/>
    </border>
    <border>
      <left style="medium">
        <color rgb="FFA3B2C9"/>
      </left>
      <right/>
      <top style="medium">
        <color rgb="FFA3B2C9"/>
      </top>
      <bottom/>
      <diagonal/>
    </border>
    <border>
      <left/>
      <right/>
      <top style="medium">
        <color rgb="FFA3B2C9"/>
      </top>
      <bottom/>
      <diagonal/>
    </border>
    <border>
      <left style="medium">
        <color rgb="FFA3B2C9"/>
      </left>
      <right/>
      <top/>
      <bottom/>
      <diagonal/>
    </border>
    <border>
      <left/>
      <right style="thick">
        <color rgb="FFA3B2C9"/>
      </right>
      <top style="medium">
        <color rgb="FFA3B2C9"/>
      </top>
      <bottom/>
      <diagonal/>
    </border>
    <border>
      <left style="medium">
        <color rgb="FFA3B2C9"/>
      </left>
      <right/>
      <top/>
      <bottom style="thick">
        <color rgb="FFA3B2C9"/>
      </bottom>
      <diagonal/>
    </border>
    <border>
      <left/>
      <right/>
      <top/>
      <bottom style="thick">
        <color rgb="FFA3B2C9"/>
      </bottom>
      <diagonal/>
    </border>
    <border>
      <left/>
      <right style="thick">
        <color rgb="FFA3B2C9"/>
      </right>
      <top/>
      <bottom style="thick">
        <color rgb="FFA3B2C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</borders>
  <cellStyleXfs count="5">
    <xf numFmtId="0" fontId="0" fillId="0" borderId="0"/>
    <xf numFmtId="0" fontId="1" fillId="2" borderId="1" applyNumberFormat="0" applyAlignment="0" applyProtection="0"/>
    <xf numFmtId="0" fontId="2" fillId="3" borderId="2" applyNumberFormat="0" applyAlignment="0" applyProtection="0"/>
    <xf numFmtId="0" fontId="3" fillId="3" borderId="1" applyNumberFormat="0" applyAlignment="0" applyProtection="0"/>
    <xf numFmtId="0" fontId="19" fillId="0" borderId="0" applyNumberFormat="0" applyFill="0" applyBorder="0" applyAlignment="0" applyProtection="0"/>
  </cellStyleXfs>
  <cellXfs count="133">
    <xf numFmtId="0" fontId="0" fillId="0" borderId="0" xfId="0"/>
    <xf numFmtId="0" fontId="0" fillId="0" borderId="0" xfId="0" applyAlignment="1">
      <alignment horizontal="center"/>
    </xf>
    <xf numFmtId="0" fontId="3" fillId="3" borderId="0" xfId="3" applyBorder="1" applyAlignment="1">
      <alignment horizontal="center"/>
    </xf>
    <xf numFmtId="2" fontId="3" fillId="3" borderId="0" xfId="3" applyNumberFormat="1" applyBorder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/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1" fillId="2" borderId="1" xfId="1" applyAlignment="1">
      <alignment horizontal="center"/>
    </xf>
    <xf numFmtId="9" fontId="1" fillId="2" borderId="1" xfId="1" applyNumberFormat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0" xfId="0" applyFill="1" applyAlignment="1">
      <alignment horizontal="center"/>
    </xf>
    <xf numFmtId="2" fontId="0" fillId="4" borderId="0" xfId="0" applyNumberFormat="1" applyFill="1" applyAlignment="1">
      <alignment horizontal="center"/>
    </xf>
    <xf numFmtId="0" fontId="0" fillId="4" borderId="7" xfId="0" applyFill="1" applyBorder="1" applyAlignment="1">
      <alignment horizontal="center"/>
    </xf>
    <xf numFmtId="2" fontId="1" fillId="2" borderId="1" xfId="1" applyNumberFormat="1" applyAlignment="1">
      <alignment horizontal="center"/>
    </xf>
    <xf numFmtId="0" fontId="3" fillId="3" borderId="1" xfId="3" applyAlignment="1">
      <alignment horizontal="center"/>
    </xf>
    <xf numFmtId="2" fontId="3" fillId="3" borderId="1" xfId="3" applyNumberFormat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2" fontId="0" fillId="4" borderId="9" xfId="0" applyNumberForma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7" xfId="0" applyBorder="1" applyAlignment="1">
      <alignment horizontal="center"/>
    </xf>
    <xf numFmtId="2" fontId="0" fillId="0" borderId="0" xfId="0" applyNumberFormat="1"/>
    <xf numFmtId="164" fontId="0" fillId="0" borderId="0" xfId="0" applyNumberFormat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3" fillId="3" borderId="11" xfId="3" applyBorder="1" applyAlignment="1">
      <alignment horizontal="center"/>
    </xf>
    <xf numFmtId="0" fontId="4" fillId="0" borderId="0" xfId="0" applyFont="1"/>
    <xf numFmtId="0" fontId="0" fillId="0" borderId="12" xfId="0" applyBorder="1" applyAlignment="1">
      <alignment horizontal="left"/>
    </xf>
    <xf numFmtId="0" fontId="1" fillId="2" borderId="1" xfId="1"/>
    <xf numFmtId="0" fontId="4" fillId="0" borderId="12" xfId="0" applyFont="1" applyBorder="1"/>
    <xf numFmtId="0" fontId="0" fillId="0" borderId="12" xfId="0" applyBorder="1"/>
    <xf numFmtId="1" fontId="0" fillId="0" borderId="12" xfId="0" applyNumberForma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166" fontId="0" fillId="0" borderId="12" xfId="0" applyNumberFormat="1" applyBorder="1"/>
    <xf numFmtId="0" fontId="3" fillId="3" borderId="1" xfId="3"/>
    <xf numFmtId="3" fontId="1" fillId="2" borderId="1" xfId="1" applyNumberFormat="1"/>
    <xf numFmtId="165" fontId="3" fillId="3" borderId="1" xfId="3" applyNumberFormat="1"/>
    <xf numFmtId="1" fontId="3" fillId="3" borderId="1" xfId="3" applyNumberFormat="1"/>
    <xf numFmtId="2" fontId="3" fillId="3" borderId="1" xfId="3" applyNumberFormat="1"/>
    <xf numFmtId="0" fontId="0" fillId="0" borderId="0" xfId="0" applyAlignment="1">
      <alignment horizontal="right"/>
    </xf>
    <xf numFmtId="3" fontId="1" fillId="2" borderId="11" xfId="1" applyNumberFormat="1" applyBorder="1"/>
    <xf numFmtId="0" fontId="0" fillId="5" borderId="13" xfId="0" applyFill="1" applyBorder="1"/>
    <xf numFmtId="0" fontId="0" fillId="5" borderId="14" xfId="0" applyFill="1" applyBorder="1" applyAlignment="1">
      <alignment horizontal="right"/>
    </xf>
    <xf numFmtId="0" fontId="7" fillId="3" borderId="15" xfId="2" applyFont="1" applyBorder="1" applyAlignment="1">
      <alignment horizontal="center"/>
    </xf>
    <xf numFmtId="0" fontId="0" fillId="5" borderId="16" xfId="0" applyFill="1" applyBorder="1"/>
    <xf numFmtId="0" fontId="0" fillId="5" borderId="17" xfId="0" applyFill="1" applyBorder="1"/>
    <xf numFmtId="0" fontId="0" fillId="5" borderId="0" xfId="0" applyFill="1" applyAlignment="1">
      <alignment horizontal="right"/>
    </xf>
    <xf numFmtId="0" fontId="2" fillId="3" borderId="2" xfId="2" applyAlignment="1">
      <alignment horizontal="center"/>
    </xf>
    <xf numFmtId="0" fontId="0" fillId="5" borderId="18" xfId="0" applyFill="1" applyBorder="1"/>
    <xf numFmtId="3" fontId="2" fillId="3" borderId="2" xfId="2" applyNumberFormat="1" applyAlignment="1">
      <alignment horizontal="center"/>
    </xf>
    <xf numFmtId="0" fontId="0" fillId="5" borderId="19" xfId="0" applyFill="1" applyBorder="1"/>
    <xf numFmtId="0" fontId="0" fillId="5" borderId="20" xfId="0" applyFill="1" applyBorder="1" applyAlignment="1">
      <alignment horizontal="right"/>
    </xf>
    <xf numFmtId="0" fontId="2" fillId="3" borderId="21" xfId="2" applyBorder="1" applyAlignment="1">
      <alignment horizontal="center"/>
    </xf>
    <xf numFmtId="0" fontId="0" fillId="5" borderId="22" xfId="0" applyFill="1" applyBorder="1"/>
    <xf numFmtId="165" fontId="0" fillId="0" borderId="0" xfId="0" applyNumberFormat="1"/>
    <xf numFmtId="1" fontId="0" fillId="0" borderId="0" xfId="0" applyNumberFormat="1"/>
    <xf numFmtId="166" fontId="0" fillId="0" borderId="0" xfId="0" applyNumberForma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" fillId="6" borderId="1" xfId="1" applyFill="1"/>
    <xf numFmtId="165" fontId="1" fillId="2" borderId="1" xfId="1" applyNumberFormat="1"/>
    <xf numFmtId="14" fontId="0" fillId="0" borderId="0" xfId="0" applyNumberFormat="1"/>
    <xf numFmtId="20" fontId="0" fillId="0" borderId="0" xfId="0" applyNumberFormat="1"/>
    <xf numFmtId="0" fontId="0" fillId="0" borderId="0" xfId="0" applyAlignment="1">
      <alignment horizontal="center" vertical="center"/>
    </xf>
    <xf numFmtId="0" fontId="0" fillId="0" borderId="12" xfId="0" applyBorder="1" applyAlignment="1">
      <alignment horizontal="center" vertical="center"/>
    </xf>
    <xf numFmtId="14" fontId="1" fillId="2" borderId="1" xfId="1" applyNumberFormat="1" applyAlignment="1">
      <alignment horizontal="center"/>
    </xf>
    <xf numFmtId="0" fontId="19" fillId="0" borderId="0" xfId="4"/>
    <xf numFmtId="0" fontId="0" fillId="7" borderId="23" xfId="0" applyFill="1" applyBorder="1" applyProtection="1">
      <protection hidden="1"/>
    </xf>
    <xf numFmtId="0" fontId="0" fillId="7" borderId="24" xfId="0" applyFill="1" applyBorder="1" applyProtection="1">
      <protection hidden="1"/>
    </xf>
    <xf numFmtId="0" fontId="0" fillId="7" borderId="25" xfId="0" applyFill="1" applyBorder="1" applyProtection="1">
      <protection hidden="1"/>
    </xf>
    <xf numFmtId="0" fontId="0" fillId="4" borderId="0" xfId="0" applyFill="1" applyProtection="1">
      <protection hidden="1"/>
    </xf>
    <xf numFmtId="0" fontId="15" fillId="8" borderId="29" xfId="0" applyFont="1" applyFill="1" applyBorder="1" applyProtection="1">
      <protection hidden="1"/>
    </xf>
    <xf numFmtId="0" fontId="0" fillId="8" borderId="0" xfId="0" applyFill="1" applyProtection="1">
      <protection hidden="1"/>
    </xf>
    <xf numFmtId="0" fontId="0" fillId="8" borderId="30" xfId="0" applyFill="1" applyBorder="1" applyProtection="1">
      <protection hidden="1"/>
    </xf>
    <xf numFmtId="0" fontId="0" fillId="4" borderId="31" xfId="0" applyFill="1" applyBorder="1" applyProtection="1">
      <protection hidden="1"/>
    </xf>
    <xf numFmtId="0" fontId="0" fillId="4" borderId="32" xfId="0" applyFill="1" applyBorder="1" applyProtection="1">
      <protection hidden="1"/>
    </xf>
    <xf numFmtId="0" fontId="0" fillId="4" borderId="34" xfId="0" applyFill="1" applyBorder="1" applyProtection="1">
      <protection hidden="1"/>
    </xf>
    <xf numFmtId="0" fontId="0" fillId="4" borderId="33" xfId="0" applyFill="1" applyBorder="1" applyProtection="1">
      <protection hidden="1"/>
    </xf>
    <xf numFmtId="0" fontId="16" fillId="4" borderId="0" xfId="0" applyFont="1" applyFill="1" applyAlignment="1" applyProtection="1">
      <alignment horizontal="right" indent="1"/>
      <protection hidden="1"/>
    </xf>
    <xf numFmtId="0" fontId="1" fillId="2" borderId="1" xfId="1" applyAlignment="1" applyProtection="1">
      <alignment horizontal="center"/>
      <protection locked="0" hidden="1"/>
    </xf>
    <xf numFmtId="0" fontId="16" fillId="4" borderId="0" xfId="0" applyFont="1" applyFill="1" applyProtection="1">
      <protection hidden="1"/>
    </xf>
    <xf numFmtId="0" fontId="7" fillId="4" borderId="0" xfId="0" applyFont="1" applyFill="1" applyProtection="1">
      <protection hidden="1"/>
    </xf>
    <xf numFmtId="0" fontId="0" fillId="4" borderId="30" xfId="0" applyFill="1" applyBorder="1" applyProtection="1">
      <protection hidden="1"/>
    </xf>
    <xf numFmtId="165" fontId="16" fillId="4" borderId="0" xfId="0" applyNumberFormat="1" applyFont="1" applyFill="1" applyAlignment="1" applyProtection="1">
      <alignment horizontal="center"/>
      <protection hidden="1"/>
    </xf>
    <xf numFmtId="0" fontId="0" fillId="4" borderId="0" xfId="0" applyFill="1" applyAlignment="1" applyProtection="1">
      <alignment horizontal="right" indent="1"/>
      <protection hidden="1"/>
    </xf>
    <xf numFmtId="0" fontId="0" fillId="8" borderId="33" xfId="0" applyFill="1" applyBorder="1" applyProtection="1">
      <protection hidden="1"/>
    </xf>
    <xf numFmtId="0" fontId="17" fillId="4" borderId="0" xfId="0" applyFont="1" applyFill="1" applyProtection="1">
      <protection hidden="1"/>
    </xf>
    <xf numFmtId="0" fontId="13" fillId="0" borderId="12" xfId="0" applyFont="1" applyBorder="1" applyAlignment="1" applyProtection="1">
      <alignment horizontal="center"/>
      <protection hidden="1"/>
    </xf>
    <xf numFmtId="0" fontId="0" fillId="4" borderId="38" xfId="0" applyFill="1" applyBorder="1" applyProtection="1">
      <protection hidden="1"/>
    </xf>
    <xf numFmtId="0" fontId="0" fillId="4" borderId="39" xfId="0" applyFill="1" applyBorder="1" applyProtection="1">
      <protection hidden="1"/>
    </xf>
    <xf numFmtId="0" fontId="0" fillId="4" borderId="40" xfId="0" applyFill="1" applyBorder="1" applyProtection="1">
      <protection hidden="1"/>
    </xf>
    <xf numFmtId="0" fontId="17" fillId="4" borderId="0" xfId="0" applyFont="1" applyFill="1" applyAlignment="1" applyProtection="1">
      <alignment vertical="center"/>
      <protection hidden="1"/>
    </xf>
    <xf numFmtId="0" fontId="16" fillId="4" borderId="0" xfId="0" applyFont="1" applyFill="1" applyAlignment="1" applyProtection="1">
      <alignment horizontal="left"/>
      <protection hidden="1"/>
    </xf>
    <xf numFmtId="3" fontId="1" fillId="2" borderId="1" xfId="1" applyNumberFormat="1" applyAlignment="1" applyProtection="1">
      <alignment horizontal="center"/>
      <protection locked="0" hidden="1"/>
    </xf>
    <xf numFmtId="0" fontId="16" fillId="4" borderId="30" xfId="0" applyFont="1" applyFill="1" applyBorder="1" applyProtection="1">
      <protection hidden="1"/>
    </xf>
    <xf numFmtId="0" fontId="16" fillId="4" borderId="0" xfId="0" applyFont="1" applyFill="1" applyAlignment="1" applyProtection="1">
      <alignment horizontal="center"/>
      <protection hidden="1"/>
    </xf>
    <xf numFmtId="0" fontId="0" fillId="4" borderId="12" xfId="0" applyFill="1" applyBorder="1" applyAlignment="1" applyProtection="1">
      <alignment horizontal="center" vertical="center"/>
      <protection hidden="1"/>
    </xf>
    <xf numFmtId="3" fontId="0" fillId="4" borderId="12" xfId="0" applyNumberFormat="1" applyFill="1" applyBorder="1" applyAlignment="1" applyProtection="1">
      <alignment horizontal="center" vertical="center"/>
      <protection hidden="1"/>
    </xf>
    <xf numFmtId="0" fontId="4" fillId="4" borderId="12" xfId="0" applyFont="1" applyFill="1" applyBorder="1" applyAlignment="1" applyProtection="1">
      <alignment horizontal="center"/>
      <protection hidden="1"/>
    </xf>
    <xf numFmtId="165" fontId="0" fillId="4" borderId="12" xfId="0" applyNumberFormat="1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165" fontId="0" fillId="4" borderId="0" xfId="0" applyNumberFormat="1" applyFill="1" applyAlignment="1" applyProtection="1">
      <alignment horizontal="center" vertical="center"/>
      <protection hidden="1"/>
    </xf>
    <xf numFmtId="3" fontId="0" fillId="4" borderId="0" xfId="0" applyNumberFormat="1" applyFill="1" applyAlignment="1" applyProtection="1">
      <alignment horizontal="center" vertical="center"/>
      <protection hidden="1"/>
    </xf>
    <xf numFmtId="0" fontId="0" fillId="4" borderId="35" xfId="0" applyFill="1" applyBorder="1" applyProtection="1">
      <protection hidden="1"/>
    </xf>
    <xf numFmtId="0" fontId="0" fillId="4" borderId="36" xfId="0" applyFill="1" applyBorder="1" applyProtection="1">
      <protection hidden="1"/>
    </xf>
    <xf numFmtId="0" fontId="18" fillId="4" borderId="37" xfId="0" applyFont="1" applyFill="1" applyBorder="1" applyAlignment="1" applyProtection="1">
      <alignment horizontal="right" indent="1"/>
      <protection hidden="1"/>
    </xf>
    <xf numFmtId="0" fontId="0" fillId="0" borderId="3" xfId="0" applyBorder="1"/>
    <xf numFmtId="0" fontId="1" fillId="2" borderId="41" xfId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3" fillId="3" borderId="11" xfId="3" applyBorder="1" applyAlignment="1">
      <alignment horizontal="left"/>
    </xf>
    <xf numFmtId="0" fontId="14" fillId="0" borderId="26" xfId="0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 applyProtection="1">
      <alignment horizontal="center" vertical="center"/>
      <protection hidden="1"/>
    </xf>
    <xf numFmtId="0" fontId="14" fillId="0" borderId="28" xfId="0" applyFont="1" applyBorder="1" applyAlignment="1" applyProtection="1">
      <alignment horizontal="center" vertical="center"/>
      <protection hidden="1"/>
    </xf>
  </cellXfs>
  <cellStyles count="5">
    <cellStyle name="Berekening" xfId="3" builtinId="22"/>
    <cellStyle name="Hyperlink" xfId="4" builtinId="8"/>
    <cellStyle name="Invoer" xfId="1" builtinId="20"/>
    <cellStyle name="Standaard" xfId="0" builtinId="0"/>
    <cellStyle name="Uitvoer" xfId="2" builtinId="21"/>
  </cellStyles>
  <dxfs count="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A3B2C9"/>
      <color rgb="FF1E2A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2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3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4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327660</xdr:colOff>
          <xdr:row>18</xdr:row>
          <xdr:rowOff>38100</xdr:rowOff>
        </xdr:from>
        <xdr:to>
          <xdr:col>22</xdr:col>
          <xdr:colOff>556260</xdr:colOff>
          <xdr:row>37</xdr:row>
          <xdr:rowOff>76200</xdr:rowOff>
        </xdr:to>
        <xdr:sp macro="" textlink="">
          <xdr:nvSpPr>
            <xdr:cNvPr id="3073" name="I_excenter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327660</xdr:colOff>
          <xdr:row>18</xdr:row>
          <xdr:rowOff>38100</xdr:rowOff>
        </xdr:from>
        <xdr:to>
          <xdr:col>15</xdr:col>
          <xdr:colOff>594360</xdr:colOff>
          <xdr:row>33</xdr:row>
          <xdr:rowOff>106680</xdr:rowOff>
        </xdr:to>
        <xdr:sp macro="" textlink="">
          <xdr:nvSpPr>
            <xdr:cNvPr id="3074" name="I_center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327660</xdr:colOff>
          <xdr:row>18</xdr:row>
          <xdr:rowOff>38100</xdr:rowOff>
        </xdr:from>
        <xdr:to>
          <xdr:col>15</xdr:col>
          <xdr:colOff>403860</xdr:colOff>
          <xdr:row>29</xdr:row>
          <xdr:rowOff>30480</xdr:rowOff>
        </xdr:to>
        <xdr:sp macro="" textlink="">
          <xdr:nvSpPr>
            <xdr:cNvPr id="3075" name="I_Nocut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350520</xdr:colOff>
          <xdr:row>15</xdr:row>
          <xdr:rowOff>167640</xdr:rowOff>
        </xdr:from>
        <xdr:to>
          <xdr:col>8</xdr:col>
          <xdr:colOff>1341120</xdr:colOff>
          <xdr:row>15</xdr:row>
          <xdr:rowOff>480060</xdr:rowOff>
        </xdr:to>
        <xdr:sp macro="" textlink="">
          <xdr:nvSpPr>
            <xdr:cNvPr id="3078" name="CheckBox1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0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1486378</xdr:colOff>
      <xdr:row>9</xdr:row>
      <xdr:rowOff>11429</xdr:rowOff>
    </xdr:from>
    <xdr:to>
      <xdr:col>9</xdr:col>
      <xdr:colOff>54244</xdr:colOff>
      <xdr:row>15</xdr:row>
      <xdr:rowOff>91440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613"/>
        <a:stretch/>
      </xdr:blipFill>
      <xdr:spPr>
        <a:xfrm>
          <a:off x="5420203" y="2097404"/>
          <a:ext cx="1573956" cy="1289686"/>
        </a:xfrm>
        <a:prstGeom prst="rect">
          <a:avLst/>
        </a:prstGeom>
      </xdr:spPr>
    </xdr:pic>
    <xdr:clientData/>
  </xdr:twoCellAnchor>
  <xdr:oneCellAnchor>
    <xdr:from>
      <xdr:col>7</xdr:col>
      <xdr:colOff>1216614</xdr:colOff>
      <xdr:row>1</xdr:row>
      <xdr:rowOff>37783</xdr:rowOff>
    </xdr:from>
    <xdr:ext cx="1187496" cy="573721"/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3864" y="237808"/>
          <a:ext cx="1187496" cy="573721"/>
        </a:xfrm>
        <a:prstGeom prst="rect">
          <a:avLst/>
        </a:prstGeom>
      </xdr:spPr>
    </xdr:pic>
    <xdr:clientData/>
  </xdr:oneCellAnchor>
  <xdr:twoCellAnchor editAs="oneCell">
    <xdr:from>
      <xdr:col>7</xdr:col>
      <xdr:colOff>960120</xdr:colOff>
      <xdr:row>17</xdr:row>
      <xdr:rowOff>0</xdr:rowOff>
    </xdr:from>
    <xdr:to>
      <xdr:col>8</xdr:col>
      <xdr:colOff>1161018</xdr:colOff>
      <xdr:row>23</xdr:row>
      <xdr:rowOff>92809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3945" y="3876675"/>
          <a:ext cx="1707753" cy="128343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320040</xdr:colOff>
          <xdr:row>18</xdr:row>
          <xdr:rowOff>38100</xdr:rowOff>
        </xdr:from>
        <xdr:to>
          <xdr:col>24</xdr:col>
          <xdr:colOff>365760</xdr:colOff>
          <xdr:row>28</xdr:row>
          <xdr:rowOff>22860</xdr:rowOff>
        </xdr:to>
        <xdr:sp macro="" textlink="">
          <xdr:nvSpPr>
            <xdr:cNvPr id="3079" name="I_4Springs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0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doco-international.com/en/suppor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20AF4-A2E9-4399-9463-3E1D794F95F1}">
  <sheetPr codeName="Blad1"/>
  <dimension ref="A1:K40"/>
  <sheetViews>
    <sheetView showGridLines="0" tabSelected="1" topLeftCell="A4" zoomScaleNormal="100" workbookViewId="0">
      <selection activeCell="M12" sqref="M12"/>
    </sheetView>
  </sheetViews>
  <sheetFormatPr defaultRowHeight="14.4" x14ac:dyDescent="0.3"/>
  <cols>
    <col min="1" max="1" width="4" style="85" customWidth="1"/>
    <col min="2" max="2" width="8.88671875" style="85" hidden="1" customWidth="1"/>
    <col min="3" max="3" width="8.109375" style="85" customWidth="1"/>
    <col min="4" max="4" width="17.21875" style="85" customWidth="1"/>
    <col min="5" max="5" width="10.21875" style="85" bestFit="1" customWidth="1"/>
    <col min="6" max="7" width="8.88671875" style="85"/>
    <col min="8" max="8" width="21.77734375" style="85" customWidth="1"/>
    <col min="9" max="9" width="22.109375" style="85" customWidth="1"/>
    <col min="10" max="16384" width="8.88671875" style="85"/>
  </cols>
  <sheetData>
    <row r="1" spans="1:9" ht="15.6" thickTop="1" thickBot="1" x14ac:dyDescent="0.35">
      <c r="A1" s="82"/>
      <c r="B1" s="83"/>
      <c r="C1" s="83"/>
      <c r="D1" s="83"/>
      <c r="E1" s="83"/>
      <c r="F1" s="83"/>
      <c r="G1" s="83"/>
      <c r="H1" s="83"/>
      <c r="I1" s="84"/>
    </row>
    <row r="2" spans="1:9" ht="51.6" customHeight="1" thickTop="1" x14ac:dyDescent="0.3">
      <c r="A2" s="130" t="s">
        <v>124</v>
      </c>
      <c r="B2" s="131"/>
      <c r="C2" s="131"/>
      <c r="D2" s="131"/>
      <c r="E2" s="131"/>
      <c r="F2" s="131"/>
      <c r="G2" s="131"/>
      <c r="H2" s="131"/>
      <c r="I2" s="132"/>
    </row>
    <row r="3" spans="1:9" ht="15" thickBot="1" x14ac:dyDescent="0.35">
      <c r="A3" s="86"/>
      <c r="B3" s="87"/>
      <c r="C3" s="87"/>
      <c r="D3" s="87"/>
      <c r="E3" s="87"/>
      <c r="F3" s="87"/>
      <c r="G3" s="87"/>
      <c r="H3" s="87"/>
      <c r="I3" s="88"/>
    </row>
    <row r="4" spans="1:9" ht="14.4" customHeight="1" x14ac:dyDescent="0.3">
      <c r="A4" s="89"/>
      <c r="B4" s="90"/>
      <c r="C4" s="90"/>
      <c r="D4" s="90"/>
      <c r="E4" s="90"/>
      <c r="F4" s="90"/>
      <c r="G4" s="90"/>
      <c r="H4" s="90"/>
      <c r="I4" s="91"/>
    </row>
    <row r="5" spans="1:9" ht="15" customHeight="1" x14ac:dyDescent="0.3">
      <c r="A5" s="92"/>
      <c r="C5" s="93" t="s">
        <v>54</v>
      </c>
      <c r="D5" s="94">
        <v>2400</v>
      </c>
      <c r="E5" s="95" t="s">
        <v>118</v>
      </c>
      <c r="F5" s="96" t="str">
        <f ca="1">IF(Date!$B$7&gt;Date!B7,Date!B9,"")</f>
        <v/>
      </c>
      <c r="I5" s="97"/>
    </row>
    <row r="6" spans="1:9" ht="15" customHeight="1" x14ac:dyDescent="0.3">
      <c r="A6" s="92"/>
      <c r="C6" s="93" t="s">
        <v>10</v>
      </c>
      <c r="D6" s="94">
        <v>2000</v>
      </c>
      <c r="E6" s="95" t="s">
        <v>118</v>
      </c>
      <c r="F6" s="96" t="str">
        <f ca="1">IF(Date!$B$7&gt;365,Date!B10,"")</f>
        <v/>
      </c>
      <c r="I6" s="97"/>
    </row>
    <row r="7" spans="1:9" ht="15" customHeight="1" x14ac:dyDescent="0.3">
      <c r="A7" s="92"/>
      <c r="C7" s="93" t="s">
        <v>12</v>
      </c>
      <c r="D7" s="94">
        <v>125</v>
      </c>
      <c r="E7" s="95" t="s">
        <v>117</v>
      </c>
      <c r="F7" s="96" t="str">
        <f ca="1">IF(Date!$B$7&gt;365,Date!B11,"")</f>
        <v/>
      </c>
      <c r="G7" s="98"/>
      <c r="H7" s="95"/>
      <c r="I7" s="97"/>
    </row>
    <row r="8" spans="1:9" ht="15" customHeight="1" x14ac:dyDescent="0.3">
      <c r="A8" s="92"/>
      <c r="C8" s="99"/>
      <c r="I8" s="97"/>
    </row>
    <row r="9" spans="1:9" ht="7.95" customHeight="1" x14ac:dyDescent="0.3">
      <c r="A9" s="100"/>
      <c r="B9" s="87"/>
      <c r="C9" s="87"/>
      <c r="D9" s="87"/>
      <c r="E9" s="87"/>
      <c r="F9" s="87"/>
      <c r="G9" s="87"/>
      <c r="H9" s="87"/>
      <c r="I9" s="88"/>
    </row>
    <row r="10" spans="1:9" ht="18" x14ac:dyDescent="0.35">
      <c r="A10" s="92"/>
      <c r="C10" s="101" t="s">
        <v>122</v>
      </c>
      <c r="I10" s="97"/>
    </row>
    <row r="11" spans="1:9" x14ac:dyDescent="0.3">
      <c r="A11" s="92"/>
      <c r="I11" s="97"/>
    </row>
    <row r="12" spans="1:9" x14ac:dyDescent="0.3">
      <c r="A12" s="92"/>
      <c r="D12" s="85" t="s">
        <v>119</v>
      </c>
      <c r="E12" s="85" t="s">
        <v>178</v>
      </c>
      <c r="I12" s="97"/>
    </row>
    <row r="13" spans="1:9" ht="18" x14ac:dyDescent="0.35">
      <c r="A13" s="92"/>
      <c r="D13" s="102">
        <f>IF(AND(KG&lt;=130,DH&lt;3001,DW&lt;5501),VeerX,NOSP)</f>
        <v>115510</v>
      </c>
      <c r="E13" s="103" t="str">
        <f>X_Spring!T1</f>
        <v>HOME-X Spring SET L=650, 1875_2000 (2,1 / 3,4 / 4,3)</v>
      </c>
      <c r="F13" s="104"/>
      <c r="G13" s="104"/>
      <c r="H13" s="105"/>
      <c r="I13" s="97"/>
    </row>
    <row r="14" spans="1:9" ht="18" x14ac:dyDescent="0.35">
      <c r="A14" s="92"/>
      <c r="D14" s="102" t="str">
        <f>IF(AND(KG&lt;=130,DH&lt;3001,DW&lt;5501),KabelX,"-")</f>
        <v>115211-2000</v>
      </c>
      <c r="E14" s="103" t="str">
        <f>IF(AND(KG&lt;=130,DH&lt;3001,DW&lt;5501),X_Spring!Q27,"-")</f>
        <v>HOME Cable set 2 mm for doorheight 2000 mm</v>
      </c>
      <c r="F14" s="104"/>
      <c r="G14" s="104"/>
      <c r="H14" s="105"/>
      <c r="I14" s="97"/>
    </row>
    <row r="15" spans="1:9" x14ac:dyDescent="0.3">
      <c r="A15" s="92"/>
      <c r="I15" s="97"/>
    </row>
    <row r="16" spans="1:9" ht="40.200000000000003" customHeight="1" x14ac:dyDescent="0.3">
      <c r="A16" s="92"/>
      <c r="I16" s="97"/>
    </row>
    <row r="17" spans="1:11" ht="7.95" customHeight="1" x14ac:dyDescent="0.3">
      <c r="A17" s="100"/>
      <c r="B17" s="87"/>
      <c r="C17" s="87"/>
      <c r="D17" s="87"/>
      <c r="E17" s="87"/>
      <c r="F17" s="87"/>
      <c r="G17" s="87"/>
      <c r="H17" s="87"/>
      <c r="I17" s="88"/>
    </row>
    <row r="18" spans="1:11" ht="18" x14ac:dyDescent="0.3">
      <c r="A18" s="92"/>
      <c r="C18" s="106" t="s">
        <v>123</v>
      </c>
      <c r="I18" s="97"/>
      <c r="K18" s="107" t="str">
        <f>"Build-in information "&amp;SpringCalculation!SC_RESULT_QTY&amp;" Springs."</f>
        <v>Build-in information 2 Springs.</v>
      </c>
    </row>
    <row r="19" spans="1:11" x14ac:dyDescent="0.3">
      <c r="A19" s="92"/>
      <c r="I19" s="97"/>
    </row>
    <row r="20" spans="1:11" ht="15" customHeight="1" x14ac:dyDescent="0.3">
      <c r="A20" s="92"/>
      <c r="C20" s="93" t="s">
        <v>62</v>
      </c>
      <c r="D20" s="108">
        <v>15000</v>
      </c>
      <c r="I20" s="109"/>
    </row>
    <row r="21" spans="1:11" x14ac:dyDescent="0.3">
      <c r="A21" s="92"/>
      <c r="I21" s="109"/>
    </row>
    <row r="22" spans="1:11" x14ac:dyDescent="0.3">
      <c r="A22" s="92"/>
      <c r="D22" s="95" t="s">
        <v>119</v>
      </c>
      <c r="E22" s="110" t="s">
        <v>180</v>
      </c>
      <c r="F22" s="110" t="s">
        <v>120</v>
      </c>
      <c r="G22" s="110" t="s">
        <v>62</v>
      </c>
      <c r="H22" s="110"/>
      <c r="I22" s="97"/>
    </row>
    <row r="23" spans="1:11" ht="18" customHeight="1" x14ac:dyDescent="0.35">
      <c r="A23" s="92"/>
      <c r="D23" s="102">
        <f>SC_RESULT_ITEM</f>
        <v>3296508382</v>
      </c>
      <c r="E23" s="111">
        <f>SpringCalculation!SC_RESULT_QTY/2</f>
        <v>1</v>
      </c>
      <c r="F23" s="111">
        <f>SpringCalculation!SC_RESULT_RST</f>
        <v>6.8</v>
      </c>
      <c r="G23" s="112">
        <f>SpringCalculation!SC_RESULT_ELT</f>
        <v>26667</v>
      </c>
      <c r="I23" s="97"/>
    </row>
    <row r="24" spans="1:11" x14ac:dyDescent="0.3">
      <c r="A24" s="92"/>
      <c r="I24" s="97"/>
    </row>
    <row r="25" spans="1:11" x14ac:dyDescent="0.3">
      <c r="A25" s="92"/>
      <c r="D25" s="95" t="s">
        <v>121</v>
      </c>
      <c r="I25" s="97"/>
    </row>
    <row r="26" spans="1:11" x14ac:dyDescent="0.3">
      <c r="A26" s="92"/>
      <c r="B26" s="85">
        <v>1</v>
      </c>
      <c r="D26" s="113">
        <f>IF($B26&gt;SC_RESULT_MAX,"",SpringCalculation!T3)</f>
        <v>3296508382</v>
      </c>
      <c r="E26" s="111">
        <f>IF($B26&gt;SC_RESULT_MAX,"",SpringCalculation!U3/2)</f>
        <v>1</v>
      </c>
      <c r="F26" s="114">
        <f>IF($B26&gt;SC_RESULT_MAX,"",SpringCalculation!V3)</f>
        <v>6.8195790220146231</v>
      </c>
      <c r="G26" s="112">
        <f>IF($B26&gt;SC_RESULT_MAX,"",SpringCalculation!W3)</f>
        <v>26667</v>
      </c>
      <c r="I26" s="97"/>
    </row>
    <row r="27" spans="1:11" x14ac:dyDescent="0.3">
      <c r="A27" s="92"/>
      <c r="B27" s="85">
        <f>B26+1</f>
        <v>2</v>
      </c>
      <c r="D27" s="113">
        <f>IF($B27&gt;SC_RESULT_MAX,"",SpringCalculation!T4)</f>
        <v>3296509132</v>
      </c>
      <c r="E27" s="111">
        <f>IF($B27&gt;SC_RESULT_MAX,"",SpringCalculation!U4/2)</f>
        <v>1</v>
      </c>
      <c r="F27" s="114">
        <f>IF($B27&gt;SC_RESULT_MAX,"",SpringCalculation!V4)</f>
        <v>6.9265098683867485</v>
      </c>
      <c r="G27" s="112">
        <f>IF($B27&gt;SC_RESULT_MAX,"",SpringCalculation!W4)</f>
        <v>38250</v>
      </c>
      <c r="I27" s="97"/>
    </row>
    <row r="28" spans="1:11" x14ac:dyDescent="0.3">
      <c r="A28" s="92"/>
      <c r="B28" s="85">
        <f t="shared" ref="B28:B37" si="0">B27+1</f>
        <v>3</v>
      </c>
      <c r="D28" s="113" t="str">
        <f>IF($B28&gt;SC_RESULT_MAX,"",SpringCalculation!T5)</f>
        <v/>
      </c>
      <c r="E28" s="111" t="str">
        <f>IF($B28&gt;SC_RESULT_MAX,"",SpringCalculation!U5/2)</f>
        <v/>
      </c>
      <c r="F28" s="114" t="str">
        <f>IF($B28&gt;SC_RESULT_MAX,"",SpringCalculation!V5)</f>
        <v/>
      </c>
      <c r="G28" s="112" t="str">
        <f>IF($B28&gt;SC_RESULT_MAX,"",SpringCalculation!W5)</f>
        <v/>
      </c>
      <c r="I28" s="97"/>
    </row>
    <row r="29" spans="1:11" x14ac:dyDescent="0.3">
      <c r="A29" s="92"/>
      <c r="B29" s="85">
        <f t="shared" si="0"/>
        <v>4</v>
      </c>
      <c r="D29" s="113" t="str">
        <f>IF($B29&gt;SC_RESULT_MAX,"",SpringCalculation!T6)</f>
        <v/>
      </c>
      <c r="E29" s="111" t="str">
        <f>IF($B29&gt;SC_RESULT_MAX,"",SpringCalculation!U6/2)</f>
        <v/>
      </c>
      <c r="F29" s="114" t="str">
        <f>IF($B29&gt;SC_RESULT_MAX,"",SpringCalculation!V6)</f>
        <v/>
      </c>
      <c r="G29" s="112" t="str">
        <f>IF($B29&gt;SC_RESULT_MAX,"",SpringCalculation!W6)</f>
        <v/>
      </c>
      <c r="I29" s="97"/>
    </row>
    <row r="30" spans="1:11" x14ac:dyDescent="0.3">
      <c r="A30" s="92"/>
      <c r="B30" s="85">
        <f t="shared" si="0"/>
        <v>5</v>
      </c>
      <c r="D30" s="113" t="str">
        <f>IF($B30&gt;SC_RESULT_MAX,"",SpringCalculation!T7)</f>
        <v/>
      </c>
      <c r="E30" s="111" t="str">
        <f>IF($B30&gt;SC_RESULT_MAX,"",SpringCalculation!U7/2)</f>
        <v/>
      </c>
      <c r="F30" s="114" t="str">
        <f>IF($B30&gt;SC_RESULT_MAX,"",SpringCalculation!V7)</f>
        <v/>
      </c>
      <c r="G30" s="112" t="str">
        <f>IF($B30&gt;SC_RESULT_MAX,"",SpringCalculation!W7)</f>
        <v/>
      </c>
      <c r="I30" s="97"/>
    </row>
    <row r="31" spans="1:11" x14ac:dyDescent="0.3">
      <c r="A31" s="92"/>
      <c r="B31" s="85">
        <f t="shared" si="0"/>
        <v>6</v>
      </c>
      <c r="D31" s="113" t="str">
        <f>IF($B31&gt;SC_RESULT_MAX,"",SpringCalculation!T8)</f>
        <v/>
      </c>
      <c r="E31" s="111" t="str">
        <f>IF($B31&gt;SC_RESULT_MAX,"",SpringCalculation!U8/2)</f>
        <v/>
      </c>
      <c r="F31" s="114" t="str">
        <f>IF($B31&gt;SC_RESULT_MAX,"",SpringCalculation!V8)</f>
        <v/>
      </c>
      <c r="G31" s="112" t="str">
        <f>IF($B31&gt;SC_RESULT_MAX,"",SpringCalculation!W8)</f>
        <v/>
      </c>
      <c r="I31" s="97"/>
    </row>
    <row r="32" spans="1:11" x14ac:dyDescent="0.3">
      <c r="A32" s="92"/>
      <c r="B32" s="85">
        <f t="shared" si="0"/>
        <v>7</v>
      </c>
      <c r="D32" s="113" t="str">
        <f>IF($B32&gt;SC_RESULT_MAX,"",SpringCalculation!T9)</f>
        <v/>
      </c>
      <c r="E32" s="111" t="str">
        <f>IF($B32&gt;SC_RESULT_MAX,"",SpringCalculation!U9/2)</f>
        <v/>
      </c>
      <c r="F32" s="114" t="str">
        <f>IF($B32&gt;SC_RESULT_MAX,"",SpringCalculation!V9)</f>
        <v/>
      </c>
      <c r="G32" s="112" t="str">
        <f>IF($B32&gt;SC_RESULT_MAX,"",SpringCalculation!W9)</f>
        <v/>
      </c>
      <c r="I32" s="97"/>
    </row>
    <row r="33" spans="1:9" x14ac:dyDescent="0.3">
      <c r="A33" s="92"/>
      <c r="B33" s="85">
        <f t="shared" si="0"/>
        <v>8</v>
      </c>
      <c r="D33" s="113" t="str">
        <f>IF($B33&gt;SC_RESULT_MAX,"",SpringCalculation!T10)</f>
        <v/>
      </c>
      <c r="E33" s="111" t="str">
        <f>IF($B33&gt;SC_RESULT_MAX,"",SpringCalculation!U10/2)</f>
        <v/>
      </c>
      <c r="F33" s="114" t="str">
        <f>IF($B33&gt;SC_RESULT_MAX,"",SpringCalculation!V10)</f>
        <v/>
      </c>
      <c r="G33" s="112" t="str">
        <f>IF($B33&gt;SC_RESULT_MAX,"",SpringCalculation!W10)</f>
        <v/>
      </c>
      <c r="I33" s="97"/>
    </row>
    <row r="34" spans="1:9" x14ac:dyDescent="0.3">
      <c r="A34" s="92"/>
      <c r="B34" s="85">
        <f t="shared" si="0"/>
        <v>9</v>
      </c>
      <c r="D34" s="113" t="str">
        <f>IF($B34&gt;SC_RESULT_MAX,"",SpringCalculation!T11)</f>
        <v/>
      </c>
      <c r="E34" s="111" t="str">
        <f>IF($B34&gt;SC_RESULT_MAX,"",SpringCalculation!U11/2)</f>
        <v/>
      </c>
      <c r="F34" s="114" t="str">
        <f>IF($B34&gt;SC_RESULT_MAX,"",SpringCalculation!V11)</f>
        <v/>
      </c>
      <c r="G34" s="112" t="str">
        <f>IF($B34&gt;SC_RESULT_MAX,"",SpringCalculation!W11)</f>
        <v/>
      </c>
      <c r="I34" s="97"/>
    </row>
    <row r="35" spans="1:9" x14ac:dyDescent="0.3">
      <c r="A35" s="92"/>
      <c r="B35" s="85">
        <f t="shared" si="0"/>
        <v>10</v>
      </c>
      <c r="D35" s="113" t="str">
        <f>IF($B35&gt;SC_RESULT_MAX,"",SpringCalculation!T12)</f>
        <v/>
      </c>
      <c r="E35" s="111" t="str">
        <f>IF($B35&gt;SC_RESULT_MAX,"",SpringCalculation!U12/2)</f>
        <v/>
      </c>
      <c r="F35" s="114" t="str">
        <f>IF($B35&gt;SC_RESULT_MAX,"",SpringCalculation!V12)</f>
        <v/>
      </c>
      <c r="G35" s="112" t="str">
        <f>IF($B35&gt;SC_RESULT_MAX,"",SpringCalculation!W12)</f>
        <v/>
      </c>
      <c r="I35" s="97"/>
    </row>
    <row r="36" spans="1:9" x14ac:dyDescent="0.3">
      <c r="A36" s="92"/>
      <c r="B36" s="85">
        <f t="shared" si="0"/>
        <v>11</v>
      </c>
      <c r="D36" s="113" t="str">
        <f>IF($B36&gt;SC_RESULT_MAX,"",SpringCalculation!T13)</f>
        <v/>
      </c>
      <c r="E36" s="111" t="str">
        <f>IF($B36&gt;SC_RESULT_MAX,"",SpringCalculation!U13/2)</f>
        <v/>
      </c>
      <c r="F36" s="114" t="str">
        <f>IF($B36&gt;SC_RESULT_MAX,"",SpringCalculation!V13)</f>
        <v/>
      </c>
      <c r="G36" s="112" t="str">
        <f>IF($B36&gt;SC_RESULT_MAX,"",SpringCalculation!W13)</f>
        <v/>
      </c>
      <c r="I36" s="97"/>
    </row>
    <row r="37" spans="1:9" x14ac:dyDescent="0.3">
      <c r="A37" s="92"/>
      <c r="B37" s="85">
        <f t="shared" si="0"/>
        <v>12</v>
      </c>
      <c r="D37" s="113" t="str">
        <f>IF($B37&gt;SC_RESULT_MAX,"",SpringCalculation!T14)</f>
        <v/>
      </c>
      <c r="E37" s="111" t="str">
        <f>IF($B37&gt;SC_RESULT_MAX,"",SpringCalculation!U14/2)</f>
        <v/>
      </c>
      <c r="F37" s="114" t="str">
        <f>IF($B37&gt;SC_RESULT_MAX,"",SpringCalculation!V14)</f>
        <v/>
      </c>
      <c r="G37" s="112" t="str">
        <f>IF($B37&gt;SC_RESULT_MAX,"",SpringCalculation!W14)</f>
        <v/>
      </c>
      <c r="I37" s="97"/>
    </row>
    <row r="38" spans="1:9" x14ac:dyDescent="0.3">
      <c r="A38" s="92"/>
      <c r="C38" s="93"/>
      <c r="D38" s="95" t="s">
        <v>181</v>
      </c>
      <c r="E38" s="115"/>
      <c r="F38" s="116"/>
      <c r="G38" s="117"/>
      <c r="I38" s="97"/>
    </row>
    <row r="39" spans="1:9" ht="15" thickBot="1" x14ac:dyDescent="0.35">
      <c r="A39" s="118"/>
      <c r="B39" s="119"/>
      <c r="C39" s="119"/>
      <c r="D39" s="119"/>
      <c r="E39" s="119"/>
      <c r="F39" s="119"/>
      <c r="G39" s="119"/>
      <c r="H39" s="119"/>
      <c r="I39" s="120" t="str">
        <f>Date!B13&amp;" Date: "&amp;TEXT(Date!B4,"dd-mmm-jjjj")</f>
        <v>V1.1 Date: 09-feb-2023</v>
      </c>
    </row>
    <row r="40" spans="1:9" ht="15" thickTop="1" x14ac:dyDescent="0.3"/>
  </sheetData>
  <sheetProtection algorithmName="SHA-512" hashValue="uJsW0vZR68ve/o2rg/GShvXIUVq8f4T5O5YVKKAnUAj2h0m+zurP8CiYlT6ymuOEqd3mFwE/j7GtlaV0VGsHNA==" saltValue="dSnzADy9Ie8uhZH6yCV6KA==" spinCount="100000" sheet="1" objects="1" scenarios="1"/>
  <mergeCells count="1">
    <mergeCell ref="A2:I2"/>
  </mergeCells>
  <conditionalFormatting sqref="D26:D37">
    <cfRule type="cellIs" dxfId="4" priority="4" operator="equal">
      <formula>$D$23</formula>
    </cfRule>
  </conditionalFormatting>
  <dataValidations disablePrompts="1" count="1">
    <dataValidation type="whole" allowBlank="1" showInputMessage="1" showErrorMessage="1" sqref="D7" xr:uid="{F6EEE0DB-FF0E-41D3-968A-701FB563C836}">
      <formula1>40</formula1>
      <formula2>295</formula2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3079" r:id="rId4" name="I_4Springs">
          <controlPr defaultSize="0" autoLine="0" r:id="rId5">
            <anchor moveWithCells="1">
              <from>
                <xdr:col>9</xdr:col>
                <xdr:colOff>320040</xdr:colOff>
                <xdr:row>18</xdr:row>
                <xdr:rowOff>38100</xdr:rowOff>
              </from>
              <to>
                <xdr:col>24</xdr:col>
                <xdr:colOff>365760</xdr:colOff>
                <xdr:row>28</xdr:row>
                <xdr:rowOff>22860</xdr:rowOff>
              </to>
            </anchor>
          </controlPr>
        </control>
      </mc:Choice>
      <mc:Fallback>
        <control shapeId="3079" r:id="rId4" name="I_4Springs"/>
      </mc:Fallback>
    </mc:AlternateContent>
    <mc:AlternateContent xmlns:mc="http://schemas.openxmlformats.org/markup-compatibility/2006">
      <mc:Choice Requires="x14">
        <control shapeId="3073" r:id="rId6" name="I_excenter">
          <controlPr defaultSize="0" autoLine="0" r:id="rId7">
            <anchor moveWithCells="1">
              <from>
                <xdr:col>9</xdr:col>
                <xdr:colOff>327660</xdr:colOff>
                <xdr:row>18</xdr:row>
                <xdr:rowOff>38100</xdr:rowOff>
              </from>
              <to>
                <xdr:col>22</xdr:col>
                <xdr:colOff>556260</xdr:colOff>
                <xdr:row>37</xdr:row>
                <xdr:rowOff>76200</xdr:rowOff>
              </to>
            </anchor>
          </controlPr>
        </control>
      </mc:Choice>
      <mc:Fallback>
        <control shapeId="3073" r:id="rId6" name="I_excenter"/>
      </mc:Fallback>
    </mc:AlternateContent>
    <mc:AlternateContent xmlns:mc="http://schemas.openxmlformats.org/markup-compatibility/2006">
      <mc:Choice Requires="x14">
        <control shapeId="3074" r:id="rId8" name="I_center">
          <controlPr defaultSize="0" autoLine="0" r:id="rId9">
            <anchor moveWithCells="1">
              <from>
                <xdr:col>9</xdr:col>
                <xdr:colOff>327660</xdr:colOff>
                <xdr:row>18</xdr:row>
                <xdr:rowOff>38100</xdr:rowOff>
              </from>
              <to>
                <xdr:col>15</xdr:col>
                <xdr:colOff>594360</xdr:colOff>
                <xdr:row>33</xdr:row>
                <xdr:rowOff>106680</xdr:rowOff>
              </to>
            </anchor>
          </controlPr>
        </control>
      </mc:Choice>
      <mc:Fallback>
        <control shapeId="3074" r:id="rId8" name="I_center"/>
      </mc:Fallback>
    </mc:AlternateContent>
    <mc:AlternateContent xmlns:mc="http://schemas.openxmlformats.org/markup-compatibility/2006">
      <mc:Choice Requires="x14">
        <control shapeId="3075" r:id="rId10" name="I_Nocut">
          <controlPr defaultSize="0" autoLine="0" r:id="rId11">
            <anchor moveWithCells="1">
              <from>
                <xdr:col>9</xdr:col>
                <xdr:colOff>327660</xdr:colOff>
                <xdr:row>18</xdr:row>
                <xdr:rowOff>38100</xdr:rowOff>
              </from>
              <to>
                <xdr:col>15</xdr:col>
                <xdr:colOff>403860</xdr:colOff>
                <xdr:row>29</xdr:row>
                <xdr:rowOff>30480</xdr:rowOff>
              </to>
            </anchor>
          </controlPr>
        </control>
      </mc:Choice>
      <mc:Fallback>
        <control shapeId="3075" r:id="rId10" name="I_Nocut"/>
      </mc:Fallback>
    </mc:AlternateContent>
    <mc:AlternateContent xmlns:mc="http://schemas.openxmlformats.org/markup-compatibility/2006">
      <mc:Choice Requires="x14">
        <control shapeId="3078" r:id="rId12" name="CheckBox1">
          <controlPr defaultSize="0" autoLine="0" linkedCell="[0]!VOETJE" r:id="rId13">
            <anchor moveWithCells="1">
              <from>
                <xdr:col>8</xdr:col>
                <xdr:colOff>350520</xdr:colOff>
                <xdr:row>15</xdr:row>
                <xdr:rowOff>167640</xdr:rowOff>
              </from>
              <to>
                <xdr:col>8</xdr:col>
                <xdr:colOff>1341120</xdr:colOff>
                <xdr:row>15</xdr:row>
                <xdr:rowOff>480060</xdr:rowOff>
              </to>
            </anchor>
          </controlPr>
        </control>
      </mc:Choice>
      <mc:Fallback>
        <control shapeId="3078" r:id="rId12" name="CheckBox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93B34-0E27-4607-A12B-E636892448F6}">
  <sheetPr codeName="Blad9"/>
  <dimension ref="A1:U73"/>
  <sheetViews>
    <sheetView workbookViewId="0">
      <selection activeCell="N27" sqref="N27"/>
    </sheetView>
  </sheetViews>
  <sheetFormatPr defaultRowHeight="14.4" x14ac:dyDescent="0.3"/>
  <cols>
    <col min="3" max="3" width="12" bestFit="1" customWidth="1"/>
    <col min="7" max="7" width="8.88671875" style="30"/>
    <col min="8" max="8" width="10.33203125" bestFit="1" customWidth="1"/>
    <col min="9" max="9" width="3.6640625" customWidth="1"/>
    <col min="10" max="10" width="11.88671875" customWidth="1"/>
    <col min="11" max="11" width="13.33203125" customWidth="1"/>
    <col min="12" max="12" width="3.6640625" customWidth="1"/>
    <col min="13" max="13" width="15.5546875" bestFit="1" customWidth="1"/>
    <col min="14" max="14" width="11.6640625" bestFit="1" customWidth="1"/>
    <col min="16" max="16" width="11.6640625" bestFit="1" customWidth="1"/>
    <col min="20" max="20" width="46" bestFit="1" customWidth="1"/>
  </cols>
  <sheetData>
    <row r="1" spans="1:20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2" t="s">
        <v>7</v>
      </c>
      <c r="J1" s="4" t="s">
        <v>8</v>
      </c>
      <c r="M1" s="5" t="s">
        <v>9</v>
      </c>
      <c r="T1" s="129" t="str">
        <f>_xlfn.IFNA(VLOOKUP(VeerX,S2:T55,2,0),"-")</f>
        <v>HOME-X Spring SET L=650, 1875_2000 (2,1 / 3,4 / 4,3)</v>
      </c>
    </row>
    <row r="2" spans="1:20" x14ac:dyDescent="0.3">
      <c r="A2" s="6">
        <v>115501</v>
      </c>
      <c r="B2" s="7">
        <v>38</v>
      </c>
      <c r="C2" s="7">
        <v>0.37436507451144224</v>
      </c>
      <c r="D2" s="7">
        <v>1751</v>
      </c>
      <c r="E2" s="7">
        <v>2000</v>
      </c>
      <c r="F2" s="7">
        <f t="shared" ref="F2:F33" si="0">IF(AND((DH-IF(VOETJE=TRUE,8,0))&gt;=D2,(DH-IF(VOETJE=TRUE,8,0))&lt;=E2),1,0)</f>
        <v>1</v>
      </c>
      <c r="G2" s="8">
        <f t="shared" ref="G2:G33" si="1">(((C2*VEERWEG)+B2)*CORRECTION_FACTOR)/9.81</f>
        <v>40.637714686829796</v>
      </c>
      <c r="H2" s="9">
        <f>IF(AND(F2=1,G2&lt;=KG_MAX),MAX($H1:H1)+1,0)</f>
        <v>1</v>
      </c>
      <c r="J2" t="s">
        <v>10</v>
      </c>
      <c r="K2" s="10">
        <f>DH</f>
        <v>2000</v>
      </c>
      <c r="M2" t="s">
        <v>11</v>
      </c>
      <c r="N2" s="11">
        <v>1.08</v>
      </c>
      <c r="S2" s="1">
        <v>115501</v>
      </c>
      <c r="T2" t="s">
        <v>125</v>
      </c>
    </row>
    <row r="3" spans="1:20" x14ac:dyDescent="0.3">
      <c r="A3" s="12">
        <v>115502</v>
      </c>
      <c r="B3" s="13">
        <v>42</v>
      </c>
      <c r="C3" s="13">
        <v>0.43678056600096238</v>
      </c>
      <c r="D3" s="13">
        <v>1751</v>
      </c>
      <c r="E3" s="13">
        <v>2000</v>
      </c>
      <c r="F3" s="13">
        <f t="shared" si="0"/>
        <v>1</v>
      </c>
      <c r="G3" s="14">
        <f t="shared" si="1"/>
        <v>47.155861720497384</v>
      </c>
      <c r="H3" s="15">
        <f>IF(AND(F3=1,G3&lt;=KG_MAX),MAX($H2:H2)+1,0)</f>
        <v>2</v>
      </c>
      <c r="J3" t="s">
        <v>12</v>
      </c>
      <c r="K3" s="16">
        <f>KG</f>
        <v>125</v>
      </c>
      <c r="M3" t="s">
        <v>13</v>
      </c>
      <c r="N3" s="11">
        <v>0.05</v>
      </c>
      <c r="S3" s="1">
        <v>115502</v>
      </c>
      <c r="T3" t="s">
        <v>126</v>
      </c>
    </row>
    <row r="4" spans="1:20" x14ac:dyDescent="0.3">
      <c r="A4" s="12">
        <v>115503</v>
      </c>
      <c r="B4" s="13">
        <v>45</v>
      </c>
      <c r="C4" s="13">
        <v>0.47048149750353424</v>
      </c>
      <c r="D4" s="13">
        <v>1751</v>
      </c>
      <c r="E4" s="13">
        <f>2000</f>
        <v>2000</v>
      </c>
      <c r="F4" s="13">
        <f t="shared" si="0"/>
        <v>1</v>
      </c>
      <c r="G4" s="14">
        <f t="shared" si="1"/>
        <v>50.767803802775347</v>
      </c>
      <c r="H4" s="15">
        <f>IF(AND(F4=1,G4&lt;=KG_MAX),MAX($H3:H3)+1,0)</f>
        <v>3</v>
      </c>
      <c r="J4" t="s">
        <v>14</v>
      </c>
      <c r="K4" s="10" t="b">
        <v>0</v>
      </c>
      <c r="S4" s="1">
        <v>115503</v>
      </c>
      <c r="T4" t="s">
        <v>127</v>
      </c>
    </row>
    <row r="5" spans="1:20" x14ac:dyDescent="0.3">
      <c r="A5" s="12">
        <v>115504</v>
      </c>
      <c r="B5" s="13">
        <v>49</v>
      </c>
      <c r="C5" s="13">
        <v>0.53289698899305438</v>
      </c>
      <c r="D5" s="13">
        <v>1751</v>
      </c>
      <c r="E5" s="13">
        <v>2000</v>
      </c>
      <c r="F5" s="13">
        <f t="shared" si="0"/>
        <v>1</v>
      </c>
      <c r="G5" s="14">
        <f t="shared" si="1"/>
        <v>57.285950836442922</v>
      </c>
      <c r="H5" s="15">
        <f>IF(AND(F5=1,G5&lt;=KG_MAX),MAX($H4:H4)+1,0)</f>
        <v>4</v>
      </c>
      <c r="J5" t="s">
        <v>15</v>
      </c>
      <c r="K5" s="17">
        <f>(DH-231)/2</f>
        <v>884.5</v>
      </c>
      <c r="M5" t="s">
        <v>16</v>
      </c>
      <c r="N5" s="18">
        <f>KG*(1+KG_MAX_FACTOR)</f>
        <v>131.25</v>
      </c>
      <c r="S5" s="1">
        <v>115504</v>
      </c>
      <c r="T5" t="s">
        <v>128</v>
      </c>
    </row>
    <row r="6" spans="1:20" x14ac:dyDescent="0.3">
      <c r="A6" s="12">
        <v>115505</v>
      </c>
      <c r="B6" s="13">
        <v>52</v>
      </c>
      <c r="C6" s="13">
        <v>0.59806474373261964</v>
      </c>
      <c r="D6" s="13">
        <v>1751</v>
      </c>
      <c r="E6" s="13">
        <f>2000</f>
        <v>2000</v>
      </c>
      <c r="F6" s="13">
        <f t="shared" si="0"/>
        <v>1</v>
      </c>
      <c r="G6" s="14">
        <f t="shared" si="1"/>
        <v>63.962010917229591</v>
      </c>
      <c r="H6" s="15">
        <f>IF(AND(F6=1,G6&lt;=KG_MAX),MAX($H5:H5)+1,0)</f>
        <v>5</v>
      </c>
      <c r="S6" s="1">
        <v>115505</v>
      </c>
      <c r="T6" t="s">
        <v>129</v>
      </c>
    </row>
    <row r="7" spans="1:20" x14ac:dyDescent="0.3">
      <c r="A7" s="12">
        <v>115506</v>
      </c>
      <c r="B7" s="13">
        <v>56</v>
      </c>
      <c r="C7" s="13">
        <v>0.66048023522213983</v>
      </c>
      <c r="D7" s="13">
        <v>1751</v>
      </c>
      <c r="E7" s="13">
        <v>2000</v>
      </c>
      <c r="F7" s="13">
        <f t="shared" si="0"/>
        <v>1</v>
      </c>
      <c r="G7" s="14">
        <f t="shared" si="1"/>
        <v>70.48015795089718</v>
      </c>
      <c r="H7" s="15">
        <f>IF(AND(F7=1,G7&lt;=KG_MAX),MAX($H6:H6)+1,0)</f>
        <v>6</v>
      </c>
      <c r="S7" s="1">
        <v>115506</v>
      </c>
      <c r="T7" t="s">
        <v>130</v>
      </c>
    </row>
    <row r="8" spans="1:20" x14ac:dyDescent="0.3">
      <c r="A8" s="12">
        <v>115507</v>
      </c>
      <c r="B8" s="13">
        <v>69</v>
      </c>
      <c r="C8" s="13">
        <v>0.75112253469365575</v>
      </c>
      <c r="D8" s="13">
        <v>1751</v>
      </c>
      <c r="E8" s="13">
        <f>2000</f>
        <v>2000</v>
      </c>
      <c r="F8" s="13">
        <f t="shared" si="0"/>
        <v>1</v>
      </c>
      <c r="G8" s="14">
        <f t="shared" si="1"/>
        <v>80.737748470077634</v>
      </c>
      <c r="H8" s="15">
        <f>IF(AND(F8=1,G8&lt;=KG_MAX),MAX($H7:H7)+1,0)</f>
        <v>7</v>
      </c>
      <c r="J8" t="s">
        <v>17</v>
      </c>
      <c r="S8" s="1">
        <v>115507</v>
      </c>
      <c r="T8" t="s">
        <v>131</v>
      </c>
    </row>
    <row r="9" spans="1:20" x14ac:dyDescent="0.3">
      <c r="A9" s="12">
        <v>115508</v>
      </c>
      <c r="B9" s="13">
        <v>76</v>
      </c>
      <c r="C9" s="13">
        <v>0.84395488275165553</v>
      </c>
      <c r="D9" s="13">
        <v>1751</v>
      </c>
      <c r="E9" s="13">
        <v>2000</v>
      </c>
      <c r="F9" s="13">
        <f t="shared" si="0"/>
        <v>1</v>
      </c>
      <c r="G9" s="14">
        <f t="shared" si="1"/>
        <v>90.548047023174973</v>
      </c>
      <c r="H9" s="15">
        <f>IF(AND(F9=1,G9&lt;=KG_MAX),MAX($H8:H8)+1,0)</f>
        <v>8</v>
      </c>
      <c r="J9" t="s">
        <v>7</v>
      </c>
      <c r="K9" s="17">
        <f>MAX(H2:H54)</f>
        <v>10</v>
      </c>
      <c r="S9" s="1">
        <v>115508</v>
      </c>
      <c r="T9" t="s">
        <v>132</v>
      </c>
    </row>
    <row r="10" spans="1:20" x14ac:dyDescent="0.3">
      <c r="A10" s="12">
        <v>115509</v>
      </c>
      <c r="B10" s="13">
        <v>85</v>
      </c>
      <c r="C10" s="13">
        <v>0.98942373576900033</v>
      </c>
      <c r="D10" s="13">
        <v>1751</v>
      </c>
      <c r="E10" s="13">
        <f>2000</f>
        <v>2000</v>
      </c>
      <c r="F10" s="13">
        <f t="shared" si="0"/>
        <v>1</v>
      </c>
      <c r="G10" s="14">
        <f t="shared" si="1"/>
        <v>105.70406909589147</v>
      </c>
      <c r="H10" s="15">
        <f>IF(AND(F10=1,G10&lt;=KG_MAX),MAX($H9:H9)+1,0)</f>
        <v>9</v>
      </c>
      <c r="J10" t="s">
        <v>18</v>
      </c>
      <c r="K10" s="17">
        <f>IF(KG&gt;130,"NO SPRING!",IF(RESULT_ID&gt;0,INDEX(A2:A54,MATCH(RESULT_ID,H2:H54,0)),"NO SPRING!"))</f>
        <v>115510</v>
      </c>
      <c r="S10" s="1">
        <v>115509</v>
      </c>
      <c r="T10" t="s">
        <v>133</v>
      </c>
    </row>
    <row r="11" spans="1:20" x14ac:dyDescent="0.3">
      <c r="A11" s="12">
        <v>115510</v>
      </c>
      <c r="B11" s="13">
        <v>99</v>
      </c>
      <c r="C11" s="13">
        <v>1.1290404318098006</v>
      </c>
      <c r="D11" s="13">
        <v>1751</v>
      </c>
      <c r="E11" s="13">
        <v>2000</v>
      </c>
      <c r="F11" s="13">
        <f t="shared" si="0"/>
        <v>1</v>
      </c>
      <c r="G11" s="14">
        <f t="shared" si="1"/>
        <v>120.84068938742409</v>
      </c>
      <c r="H11" s="15">
        <f>IF(AND(F11=1,G11&lt;=KG_MAX),MAX($H10:H10)+1,0)</f>
        <v>10</v>
      </c>
      <c r="S11" s="1">
        <v>115510</v>
      </c>
      <c r="T11" t="s">
        <v>134</v>
      </c>
    </row>
    <row r="12" spans="1:20" ht="15" thickBot="1" x14ac:dyDescent="0.35">
      <c r="A12" s="19">
        <v>115511</v>
      </c>
      <c r="B12" s="20">
        <v>110</v>
      </c>
      <c r="C12" s="20">
        <v>1.3219052912040483</v>
      </c>
      <c r="D12" s="20">
        <v>1751</v>
      </c>
      <c r="E12" s="20">
        <f>2000</f>
        <v>2000</v>
      </c>
      <c r="F12" s="20">
        <f t="shared" si="0"/>
        <v>1</v>
      </c>
      <c r="G12" s="21">
        <f t="shared" si="1"/>
        <v>140.83213542054833</v>
      </c>
      <c r="H12" s="22">
        <f>IF(AND(F12=1,G12&lt;=KG_MAX),MAX($H11:H11)+1,0)</f>
        <v>0</v>
      </c>
      <c r="S12" s="1">
        <v>115511</v>
      </c>
      <c r="T12" t="s">
        <v>135</v>
      </c>
    </row>
    <row r="13" spans="1:20" x14ac:dyDescent="0.3">
      <c r="A13" s="23">
        <v>115521</v>
      </c>
      <c r="B13" s="24">
        <v>36</v>
      </c>
      <c r="C13" s="24">
        <v>0.32076735213339408</v>
      </c>
      <c r="D13" s="24">
        <v>2001</v>
      </c>
      <c r="E13" s="24">
        <v>2250</v>
      </c>
      <c r="F13" s="24">
        <f t="shared" si="0"/>
        <v>0</v>
      </c>
      <c r="G13" s="25">
        <f t="shared" si="1"/>
        <v>35.198391518750867</v>
      </c>
      <c r="H13" s="26">
        <f>IF(AND(F13=1,G13&lt;=KG_MAX),MAX($H12:H12)+1,0)</f>
        <v>0</v>
      </c>
      <c r="J13" t="s">
        <v>19</v>
      </c>
      <c r="S13" s="1">
        <v>115521</v>
      </c>
      <c r="T13" t="s">
        <v>136</v>
      </c>
    </row>
    <row r="14" spans="1:20" x14ac:dyDescent="0.3">
      <c r="A14" s="27">
        <v>115522</v>
      </c>
      <c r="B14" s="1">
        <v>41</v>
      </c>
      <c r="C14" s="1">
        <v>0.36262232639019903</v>
      </c>
      <c r="D14" s="1">
        <v>2001</v>
      </c>
      <c r="E14" s="1">
        <v>2250</v>
      </c>
      <c r="F14" s="1">
        <f t="shared" si="0"/>
        <v>0</v>
      </c>
      <c r="G14" s="28">
        <f t="shared" si="1"/>
        <v>39.824526351427266</v>
      </c>
      <c r="H14" s="29">
        <f>IF(AND(F14=1,G14&lt;=KG_MAX),MAX($H13:H13)+1,0)</f>
        <v>0</v>
      </c>
      <c r="J14" t="str">
        <f>B1</f>
        <v>F0 [N]</v>
      </c>
      <c r="K14" t="s">
        <v>20</v>
      </c>
      <c r="S14" s="1">
        <v>115522</v>
      </c>
      <c r="T14" t="s">
        <v>137</v>
      </c>
    </row>
    <row r="15" spans="1:20" x14ac:dyDescent="0.3">
      <c r="A15" s="27">
        <v>115523</v>
      </c>
      <c r="B15" s="1">
        <v>45</v>
      </c>
      <c r="C15" s="1">
        <v>0.41356240782291931</v>
      </c>
      <c r="D15" s="1">
        <v>2001</v>
      </c>
      <c r="E15" s="1">
        <v>2250</v>
      </c>
      <c r="F15" s="1">
        <f t="shared" si="0"/>
        <v>0</v>
      </c>
      <c r="G15" s="28">
        <f t="shared" si="1"/>
        <v>45.225242170940049</v>
      </c>
      <c r="H15" s="29">
        <f>IF(AND(F15=1,G15&lt;=KG_MAX),MAX($H14:H14)+1,0)</f>
        <v>0</v>
      </c>
      <c r="J15" t="str">
        <f>C1</f>
        <v>RS [N/mm]</v>
      </c>
      <c r="K15" t="s">
        <v>20</v>
      </c>
      <c r="S15" s="1">
        <v>115523</v>
      </c>
      <c r="T15" t="s">
        <v>138</v>
      </c>
    </row>
    <row r="16" spans="1:20" x14ac:dyDescent="0.3">
      <c r="A16" s="27">
        <v>115524</v>
      </c>
      <c r="B16" s="1">
        <v>48</v>
      </c>
      <c r="C16" s="1">
        <v>0.47366548013596455</v>
      </c>
      <c r="D16" s="1">
        <v>2001</v>
      </c>
      <c r="E16" s="1">
        <v>2250</v>
      </c>
      <c r="F16" s="1">
        <f t="shared" si="0"/>
        <v>0</v>
      </c>
      <c r="G16" s="28">
        <f t="shared" si="1"/>
        <v>51.408122992322269</v>
      </c>
      <c r="H16" s="29">
        <f>IF(AND(F16=1,G16&lt;=KG_MAX),MAX($H15:H15)+1,0)</f>
        <v>0</v>
      </c>
      <c r="J16" t="str">
        <f>F1</f>
        <v>SELECT,H</v>
      </c>
      <c r="K16" t="s">
        <v>21</v>
      </c>
      <c r="S16" s="1">
        <v>115524</v>
      </c>
      <c r="T16" t="s">
        <v>139</v>
      </c>
    </row>
    <row r="17" spans="1:21" x14ac:dyDescent="0.3">
      <c r="A17" s="27">
        <v>115525</v>
      </c>
      <c r="B17" s="1">
        <v>52</v>
      </c>
      <c r="C17" s="1">
        <v>0.52460556156868476</v>
      </c>
      <c r="D17" s="1">
        <v>2001</v>
      </c>
      <c r="E17" s="1">
        <v>2250</v>
      </c>
      <c r="F17" s="1">
        <f t="shared" si="0"/>
        <v>0</v>
      </c>
      <c r="G17" s="28">
        <f t="shared" si="1"/>
        <v>56.808838811835045</v>
      </c>
      <c r="H17" s="29">
        <f>IF(AND(F17=1,G17&lt;=KG_MAX),MAX($H16:H16)+1,0)</f>
        <v>0</v>
      </c>
      <c r="K17" t="s">
        <v>22</v>
      </c>
      <c r="S17" s="1">
        <v>115525</v>
      </c>
      <c r="T17" t="s">
        <v>140</v>
      </c>
    </row>
    <row r="18" spans="1:21" x14ac:dyDescent="0.3">
      <c r="A18" s="27">
        <v>115526</v>
      </c>
      <c r="B18" s="1">
        <v>56</v>
      </c>
      <c r="C18" s="1">
        <v>0.57978267014220508</v>
      </c>
      <c r="D18" s="1">
        <v>2001</v>
      </c>
      <c r="E18" s="1">
        <v>2250</v>
      </c>
      <c r="F18" s="1">
        <f t="shared" si="0"/>
        <v>0</v>
      </c>
      <c r="G18" s="28">
        <f t="shared" si="1"/>
        <v>62.622140008159306</v>
      </c>
      <c r="H18" s="29">
        <f>IF(AND(F18=1,G18&lt;=KG_MAX),MAX($H17:H17)+1,0)</f>
        <v>0</v>
      </c>
      <c r="J18" s="30" t="str">
        <f>G1</f>
        <v>KG@DH</v>
      </c>
      <c r="K18" t="str">
        <f ca="1">_xlfn.FORMULATEXT(G2)</f>
        <v>=(((C2*VEERWEG)+B2)*CORRECTION_FACTOR)/9,81</v>
      </c>
      <c r="S18" s="1">
        <v>115526</v>
      </c>
      <c r="T18" t="s">
        <v>141</v>
      </c>
    </row>
    <row r="19" spans="1:21" x14ac:dyDescent="0.3">
      <c r="A19" s="27">
        <v>115527</v>
      </c>
      <c r="B19" s="1">
        <v>69</v>
      </c>
      <c r="C19" s="1">
        <v>0.65759055084958584</v>
      </c>
      <c r="D19" s="1">
        <v>2001</v>
      </c>
      <c r="E19" s="1">
        <v>2250</v>
      </c>
      <c r="F19" s="1">
        <f t="shared" si="0"/>
        <v>0</v>
      </c>
      <c r="G19" s="28">
        <f t="shared" si="1"/>
        <v>71.629964281811965</v>
      </c>
      <c r="H19" s="29">
        <f>IF(AND(F19=1,G19&lt;=KG_MAX),MAX($H18:H18)+1,0)</f>
        <v>0</v>
      </c>
      <c r="J19" t="str">
        <f>H1</f>
        <v>RESULT_ID</v>
      </c>
      <c r="K19" t="s">
        <v>23</v>
      </c>
      <c r="S19" s="1">
        <v>115527</v>
      </c>
      <c r="T19" t="s">
        <v>142</v>
      </c>
    </row>
    <row r="20" spans="1:21" x14ac:dyDescent="0.3">
      <c r="A20" s="27">
        <v>115528</v>
      </c>
      <c r="B20" s="1">
        <v>78</v>
      </c>
      <c r="C20" s="1">
        <v>0.75400174721771673</v>
      </c>
      <c r="D20" s="1">
        <v>2001</v>
      </c>
      <c r="E20" s="1">
        <v>2250</v>
      </c>
      <c r="F20" s="1">
        <f t="shared" si="0"/>
        <v>0</v>
      </c>
      <c r="G20" s="28">
        <f t="shared" si="1"/>
        <v>82.00894077953069</v>
      </c>
      <c r="H20" s="29">
        <f>IF(AND(F20=1,G20&lt;=KG_MAX),MAX($H19:H19)+1,0)</f>
        <v>0</v>
      </c>
      <c r="K20" t="s">
        <v>24</v>
      </c>
      <c r="S20" s="1">
        <v>115527</v>
      </c>
      <c r="T20" t="s">
        <v>142</v>
      </c>
    </row>
    <row r="21" spans="1:21" x14ac:dyDescent="0.3">
      <c r="A21" s="27">
        <v>115529</v>
      </c>
      <c r="B21" s="1">
        <v>85</v>
      </c>
      <c r="C21" s="1">
        <v>0.86504490096348219</v>
      </c>
      <c r="D21" s="1">
        <v>2001</v>
      </c>
      <c r="E21" s="1">
        <v>2250</v>
      </c>
      <c r="F21" s="1">
        <f t="shared" si="0"/>
        <v>0</v>
      </c>
      <c r="G21" s="28">
        <f t="shared" si="1"/>
        <v>93.592537420425685</v>
      </c>
      <c r="H21" s="29">
        <f>IF(AND(F21=1,G21&lt;=KG_MAX),MAX($H20:H20)+1,0)</f>
        <v>0</v>
      </c>
      <c r="S21" s="1">
        <v>115528</v>
      </c>
      <c r="T21" t="s">
        <v>143</v>
      </c>
      <c r="U21" s="31"/>
    </row>
    <row r="22" spans="1:21" x14ac:dyDescent="0.3">
      <c r="A22" s="27">
        <v>115530</v>
      </c>
      <c r="B22" s="1">
        <v>99</v>
      </c>
      <c r="C22" s="1">
        <v>0.98794103460418681</v>
      </c>
      <c r="D22" s="1">
        <v>2001</v>
      </c>
      <c r="E22" s="1">
        <v>2250</v>
      </c>
      <c r="F22" s="1">
        <f t="shared" si="0"/>
        <v>0</v>
      </c>
      <c r="G22" s="28">
        <f t="shared" si="1"/>
        <v>107.10097377329211</v>
      </c>
      <c r="H22" s="29">
        <f>IF(AND(F22=1,G22&lt;=KG_MAX),MAX($H21:H21)+1,0)</f>
        <v>0</v>
      </c>
      <c r="S22" s="1">
        <v>115529</v>
      </c>
      <c r="T22" t="s">
        <v>144</v>
      </c>
      <c r="U22" s="31"/>
    </row>
    <row r="23" spans="1:21" ht="15" thickBot="1" x14ac:dyDescent="0.35">
      <c r="A23" s="32">
        <v>115531</v>
      </c>
      <c r="B23" s="33">
        <v>108</v>
      </c>
      <c r="C23" s="33">
        <v>1.1271466784989204</v>
      </c>
      <c r="D23" s="33">
        <v>2001</v>
      </c>
      <c r="E23" s="33">
        <v>2250</v>
      </c>
      <c r="F23" s="33">
        <f t="shared" si="0"/>
        <v>0</v>
      </c>
      <c r="G23" s="34">
        <f t="shared" si="1"/>
        <v>121.64710867511505</v>
      </c>
      <c r="H23" s="35">
        <f>IF(AND(F23=1,G23&lt;=KG_MAX),MAX($H22:H22)+1,0)</f>
        <v>0</v>
      </c>
      <c r="S23" s="1">
        <v>115530</v>
      </c>
      <c r="T23" t="s">
        <v>145</v>
      </c>
      <c r="U23" s="31"/>
    </row>
    <row r="24" spans="1:21" x14ac:dyDescent="0.3">
      <c r="A24" s="6">
        <v>115541</v>
      </c>
      <c r="B24" s="7">
        <v>41</v>
      </c>
      <c r="C24" s="7">
        <v>0.3222367449861821</v>
      </c>
      <c r="D24" s="7">
        <v>2251</v>
      </c>
      <c r="E24" s="7">
        <v>2500</v>
      </c>
      <c r="F24" s="7">
        <f t="shared" si="0"/>
        <v>0</v>
      </c>
      <c r="G24" s="8">
        <f t="shared" si="1"/>
        <v>35.891934048470979</v>
      </c>
      <c r="H24" s="9">
        <f>IF(AND(F24=1,G24&lt;=KG_MAX),MAX($H23:H23)+1,0)</f>
        <v>0</v>
      </c>
      <c r="S24" s="1">
        <v>115531</v>
      </c>
      <c r="T24" t="s">
        <v>146</v>
      </c>
      <c r="U24" s="31"/>
    </row>
    <row r="25" spans="1:21" x14ac:dyDescent="0.3">
      <c r="A25" s="12">
        <v>115542</v>
      </c>
      <c r="B25" s="13">
        <v>45</v>
      </c>
      <c r="C25" s="13">
        <v>0.36756149249679232</v>
      </c>
      <c r="D25" s="13">
        <v>2251</v>
      </c>
      <c r="E25" s="13">
        <v>2500</v>
      </c>
      <c r="F25" s="13">
        <f t="shared" si="0"/>
        <v>0</v>
      </c>
      <c r="G25" s="14">
        <f t="shared" si="1"/>
        <v>40.745850287715172</v>
      </c>
      <c r="H25" s="15">
        <f>IF(AND(F25=1,G25&lt;=KG_MAX),MAX($H24:H24)+1,0)</f>
        <v>0</v>
      </c>
      <c r="S25" s="1">
        <v>115541</v>
      </c>
      <c r="T25" t="s">
        <v>147</v>
      </c>
      <c r="U25" s="31"/>
    </row>
    <row r="26" spans="1:21" x14ac:dyDescent="0.3">
      <c r="A26" s="12">
        <v>115543</v>
      </c>
      <c r="B26" s="13">
        <v>48</v>
      </c>
      <c r="C26" s="13">
        <v>0.42160304368957113</v>
      </c>
      <c r="D26" s="13">
        <v>2251</v>
      </c>
      <c r="E26" s="13">
        <v>2500</v>
      </c>
      <c r="F26" s="13">
        <f t="shared" si="0"/>
        <v>0</v>
      </c>
      <c r="G26" s="14">
        <f t="shared" si="1"/>
        <v>46.338483538725761</v>
      </c>
      <c r="H26" s="15">
        <f>IF(AND(F26=1,G26&lt;=KG_MAX),MAX($H25:H25)+1,0)</f>
        <v>0</v>
      </c>
      <c r="N26" t="s">
        <v>25</v>
      </c>
      <c r="S26" s="1">
        <v>115542</v>
      </c>
      <c r="T26" t="s">
        <v>148</v>
      </c>
      <c r="U26" s="31"/>
    </row>
    <row r="27" spans="1:21" x14ac:dyDescent="0.3">
      <c r="A27" s="12">
        <v>115544</v>
      </c>
      <c r="B27" s="13">
        <v>52</v>
      </c>
      <c r="C27" s="13">
        <v>0.46692779120018135</v>
      </c>
      <c r="D27" s="13">
        <v>2251</v>
      </c>
      <c r="E27" s="13">
        <v>2500</v>
      </c>
      <c r="F27" s="13">
        <f t="shared" si="0"/>
        <v>0</v>
      </c>
      <c r="G27" s="14">
        <f t="shared" si="1"/>
        <v>51.192399777969953</v>
      </c>
      <c r="H27" s="15">
        <f>IF(AND(F27=1,G27&lt;=KG_MAX),MAX($H26:H26)+1,0)</f>
        <v>0</v>
      </c>
      <c r="N27" s="36" t="str">
        <f>_xlfn.IFNA(VLOOKUP(1,M28:P37,4,0),"-")</f>
        <v>115211-2000</v>
      </c>
      <c r="P27" s="37" t="s">
        <v>26</v>
      </c>
      <c r="Q27" s="129" t="str">
        <f>_xlfn.IFNA(VLOOKUP(KabelX,P28:Q37,2,0),"-")</f>
        <v>HOME Cable set 2 mm for doorheight 2000 mm</v>
      </c>
      <c r="S27" s="1">
        <v>115543</v>
      </c>
      <c r="T27" t="s">
        <v>149</v>
      </c>
      <c r="U27" s="31"/>
    </row>
    <row r="28" spans="1:21" x14ac:dyDescent="0.3">
      <c r="A28" s="12">
        <v>115545</v>
      </c>
      <c r="B28" s="13">
        <v>62</v>
      </c>
      <c r="C28" s="13">
        <v>0.48540756884791642</v>
      </c>
      <c r="D28" s="13">
        <v>2251</v>
      </c>
      <c r="E28" s="13">
        <v>2500</v>
      </c>
      <c r="F28" s="13">
        <f t="shared" si="0"/>
        <v>0</v>
      </c>
      <c r="G28" s="14">
        <f t="shared" si="1"/>
        <v>54.092806750016372</v>
      </c>
      <c r="H28" s="15">
        <f>IF(AND(F28=1,G28&lt;=KG_MAX),MAX($H27:H27)+1,0)</f>
        <v>0</v>
      </c>
      <c r="M28" s="38">
        <f>IF(AND(DH-IF(VOETJE=TRUE,8,0)&gt;=N28,DH-IF(VOETJE=TRUE,8,0)&lt;=O28),1,0)</f>
        <v>0</v>
      </c>
      <c r="N28" s="38">
        <f t="shared" ref="N28:N37" si="2">O28-124</f>
        <v>1751</v>
      </c>
      <c r="O28" s="38">
        <v>1875</v>
      </c>
      <c r="P28" s="38" t="s">
        <v>27</v>
      </c>
      <c r="Q28" t="s">
        <v>273</v>
      </c>
      <c r="S28" s="1">
        <v>115544</v>
      </c>
      <c r="T28" t="s">
        <v>150</v>
      </c>
      <c r="U28" s="31"/>
    </row>
    <row r="29" spans="1:21" x14ac:dyDescent="0.3">
      <c r="A29" s="12">
        <v>115546</v>
      </c>
      <c r="B29" s="13">
        <v>69</v>
      </c>
      <c r="C29" s="13">
        <v>0.55543440218206153</v>
      </c>
      <c r="D29" s="13">
        <v>2251</v>
      </c>
      <c r="E29" s="13">
        <v>2500</v>
      </c>
      <c r="F29" s="13">
        <f t="shared" si="0"/>
        <v>0</v>
      </c>
      <c r="G29" s="14">
        <f t="shared" si="1"/>
        <v>61.682392153765143</v>
      </c>
      <c r="H29" s="15">
        <f>IF(AND(F29=1,G29&lt;=KG_MAX),MAX($H28:H28)+1,0)</f>
        <v>0</v>
      </c>
      <c r="M29" s="38">
        <f t="shared" ref="M29:M37" si="3">IF(AND(DH-IF(VOETJE=TRUE,8,0)&gt;=N29,DH-IF(VOETJE=TRUE,8,0)&lt;=O29),1,0)</f>
        <v>1</v>
      </c>
      <c r="N29" s="38">
        <f t="shared" si="2"/>
        <v>1876</v>
      </c>
      <c r="O29" s="38">
        <v>2000</v>
      </c>
      <c r="P29" s="38" t="s">
        <v>28</v>
      </c>
      <c r="Q29" t="s">
        <v>274</v>
      </c>
      <c r="S29" s="1">
        <v>115545</v>
      </c>
      <c r="T29" t="s">
        <v>151</v>
      </c>
      <c r="U29" s="31"/>
    </row>
    <row r="30" spans="1:21" x14ac:dyDescent="0.3">
      <c r="A30" s="12">
        <v>115547</v>
      </c>
      <c r="B30" s="13">
        <v>69</v>
      </c>
      <c r="C30" s="13">
        <v>0.58477386755130545</v>
      </c>
      <c r="D30" s="13">
        <v>2251</v>
      </c>
      <c r="E30" s="13">
        <v>2500</v>
      </c>
      <c r="F30" s="13">
        <f t="shared" si="0"/>
        <v>0</v>
      </c>
      <c r="G30" s="14">
        <f t="shared" si="1"/>
        <v>64.539356240271161</v>
      </c>
      <c r="H30" s="15">
        <f>IF(AND(F30=1,G30&lt;=KG_MAX),MAX($H29:H29)+1,0)</f>
        <v>0</v>
      </c>
      <c r="M30" s="38">
        <f t="shared" si="3"/>
        <v>0</v>
      </c>
      <c r="N30" s="38">
        <f t="shared" si="2"/>
        <v>2001</v>
      </c>
      <c r="O30" s="38">
        <v>2125</v>
      </c>
      <c r="P30" s="38" t="s">
        <v>29</v>
      </c>
      <c r="Q30" t="s">
        <v>275</v>
      </c>
      <c r="S30" s="1">
        <v>115546</v>
      </c>
      <c r="T30" t="s">
        <v>152</v>
      </c>
      <c r="U30" s="31"/>
    </row>
    <row r="31" spans="1:21" x14ac:dyDescent="0.3">
      <c r="A31" s="12">
        <v>115548</v>
      </c>
      <c r="B31" s="13">
        <v>78</v>
      </c>
      <c r="C31" s="13">
        <v>0.66908318509783193</v>
      </c>
      <c r="D31" s="13">
        <v>2251</v>
      </c>
      <c r="E31" s="13">
        <v>2500</v>
      </c>
      <c r="F31" s="13">
        <f t="shared" si="0"/>
        <v>0</v>
      </c>
      <c r="G31" s="14">
        <f t="shared" si="1"/>
        <v>73.739898409434758</v>
      </c>
      <c r="H31" s="15">
        <f>IF(AND(F31=1,G31&lt;=KG_MAX),MAX($H30:H30)+1,0)</f>
        <v>0</v>
      </c>
      <c r="M31" s="38">
        <f t="shared" si="3"/>
        <v>0</v>
      </c>
      <c r="N31" s="38">
        <f t="shared" si="2"/>
        <v>2126</v>
      </c>
      <c r="O31" s="38">
        <v>2250</v>
      </c>
      <c r="P31" s="38" t="s">
        <v>30</v>
      </c>
      <c r="Q31" t="s">
        <v>276</v>
      </c>
      <c r="S31" s="1">
        <v>115547</v>
      </c>
      <c r="T31" t="s">
        <v>153</v>
      </c>
      <c r="U31" s="31"/>
    </row>
    <row r="32" spans="1:21" x14ac:dyDescent="0.3">
      <c r="A32" s="12">
        <v>115549</v>
      </c>
      <c r="B32" s="13">
        <v>85</v>
      </c>
      <c r="C32" s="13">
        <v>0.76844948380122102</v>
      </c>
      <c r="D32" s="13">
        <v>2251</v>
      </c>
      <c r="E32" s="13">
        <v>2500</v>
      </c>
      <c r="F32" s="13">
        <f t="shared" si="0"/>
        <v>0</v>
      </c>
      <c r="G32" s="14">
        <f t="shared" si="1"/>
        <v>84.18644789968954</v>
      </c>
      <c r="H32" s="15">
        <f>IF(AND(F32=1,G32&lt;=KG_MAX),MAX($H31:H31)+1,0)</f>
        <v>0</v>
      </c>
      <c r="M32" s="38">
        <f t="shared" si="3"/>
        <v>0</v>
      </c>
      <c r="N32" s="38">
        <f t="shared" si="2"/>
        <v>2251</v>
      </c>
      <c r="O32" s="38">
        <v>2375</v>
      </c>
      <c r="P32" s="38" t="s">
        <v>31</v>
      </c>
      <c r="Q32" t="s">
        <v>277</v>
      </c>
      <c r="S32" s="1">
        <v>115548</v>
      </c>
      <c r="T32" t="s">
        <v>154</v>
      </c>
      <c r="U32" s="31"/>
    </row>
    <row r="33" spans="1:21" x14ac:dyDescent="0.3">
      <c r="A33" s="12">
        <v>115550</v>
      </c>
      <c r="B33" s="13">
        <v>99</v>
      </c>
      <c r="C33" s="13">
        <v>0.87790897349720853</v>
      </c>
      <c r="D33" s="13">
        <v>2251</v>
      </c>
      <c r="E33" s="13">
        <v>2500</v>
      </c>
      <c r="F33" s="13">
        <f t="shared" si="0"/>
        <v>0</v>
      </c>
      <c r="G33" s="14">
        <f t="shared" si="1"/>
        <v>96.386475639443773</v>
      </c>
      <c r="H33" s="15">
        <f>IF(AND(F33=1,G33&lt;=KG_MAX),MAX($H32:H32)+1,0)</f>
        <v>0</v>
      </c>
      <c r="M33" s="38">
        <f t="shared" si="3"/>
        <v>0</v>
      </c>
      <c r="N33" s="38">
        <f t="shared" si="2"/>
        <v>2376</v>
      </c>
      <c r="O33" s="38">
        <v>2500</v>
      </c>
      <c r="P33" s="38" t="s">
        <v>32</v>
      </c>
      <c r="Q33" t="s">
        <v>278</v>
      </c>
      <c r="S33" s="1">
        <v>115549</v>
      </c>
      <c r="T33" t="s">
        <v>155</v>
      </c>
      <c r="U33" s="31"/>
    </row>
    <row r="34" spans="1:21" ht="15" thickBot="1" x14ac:dyDescent="0.35">
      <c r="A34" s="19">
        <v>115551</v>
      </c>
      <c r="B34" s="20">
        <v>108</v>
      </c>
      <c r="C34" s="20">
        <v>1.0008089231009465</v>
      </c>
      <c r="D34" s="20">
        <v>2251</v>
      </c>
      <c r="E34" s="20">
        <v>2500</v>
      </c>
      <c r="F34" s="20">
        <f t="shared" ref="F34:F54" si="4">IF(AND((DH-IF(VOETJE=TRUE,8,0))&gt;=D34,(DH-IF(VOETJE=TRUE,8,0))&lt;=E34),1,0)</f>
        <v>0</v>
      </c>
      <c r="G34" s="21">
        <f t="shared" ref="G34:G54" si="5">(((C34*VEERWEG)+B34)*CORRECTION_FACTOR)/9.81</f>
        <v>109.34482486049033</v>
      </c>
      <c r="H34" s="22">
        <f>IF(AND(F34=1,G34&lt;=KG_MAX),MAX($H33:H33)+1,0)</f>
        <v>0</v>
      </c>
      <c r="M34" s="38">
        <f t="shared" si="3"/>
        <v>0</v>
      </c>
      <c r="N34" s="38">
        <f t="shared" si="2"/>
        <v>2501</v>
      </c>
      <c r="O34" s="38">
        <v>2625</v>
      </c>
      <c r="P34" s="38" t="s">
        <v>33</v>
      </c>
      <c r="Q34" t="s">
        <v>279</v>
      </c>
      <c r="S34" s="1">
        <v>115550</v>
      </c>
      <c r="T34" t="s">
        <v>156</v>
      </c>
      <c r="U34" s="31"/>
    </row>
    <row r="35" spans="1:21" x14ac:dyDescent="0.3">
      <c r="A35" s="23">
        <v>115561</v>
      </c>
      <c r="B35" s="24">
        <v>43</v>
      </c>
      <c r="C35" s="24">
        <v>0.30906316424261154</v>
      </c>
      <c r="D35" s="24">
        <v>2501</v>
      </c>
      <c r="E35" s="24">
        <v>2750</v>
      </c>
      <c r="F35" s="24">
        <f t="shared" si="4"/>
        <v>0</v>
      </c>
      <c r="G35" s="25">
        <f t="shared" si="5"/>
        <v>34.829325002486961</v>
      </c>
      <c r="H35" s="26">
        <f>IF(AND(F35=1,G35&lt;=KG_MAX),MAX($H34:H34)+1,0)</f>
        <v>0</v>
      </c>
      <c r="M35" s="38">
        <f t="shared" si="3"/>
        <v>0</v>
      </c>
      <c r="N35" s="38">
        <f t="shared" si="2"/>
        <v>2626</v>
      </c>
      <c r="O35" s="38">
        <v>2750</v>
      </c>
      <c r="P35" s="38" t="s">
        <v>34</v>
      </c>
      <c r="Q35" t="s">
        <v>280</v>
      </c>
      <c r="S35" s="1">
        <v>115551</v>
      </c>
      <c r="T35" t="s">
        <v>157</v>
      </c>
      <c r="U35" s="31"/>
    </row>
    <row r="36" spans="1:21" x14ac:dyDescent="0.3">
      <c r="A36" s="27">
        <v>115562</v>
      </c>
      <c r="B36" s="1">
        <v>45</v>
      </c>
      <c r="C36" s="1">
        <v>0.3318776518743129</v>
      </c>
      <c r="D36" s="1">
        <v>2501</v>
      </c>
      <c r="E36" s="1">
        <v>2750</v>
      </c>
      <c r="F36" s="1">
        <f t="shared" si="4"/>
        <v>0</v>
      </c>
      <c r="G36" s="28">
        <f t="shared" si="5"/>
        <v>37.27109538526566</v>
      </c>
      <c r="H36" s="29">
        <f>IF(AND(F36=1,G36&lt;=KG_MAX),MAX($H35:H35)+1,0)</f>
        <v>0</v>
      </c>
      <c r="M36" s="38">
        <f t="shared" si="3"/>
        <v>0</v>
      </c>
      <c r="N36" s="38">
        <f t="shared" si="2"/>
        <v>2751</v>
      </c>
      <c r="O36" s="38">
        <v>2875</v>
      </c>
      <c r="P36" s="38" t="s">
        <v>35</v>
      </c>
      <c r="Q36" t="s">
        <v>281</v>
      </c>
      <c r="S36" s="1">
        <v>115561</v>
      </c>
      <c r="T36" t="s">
        <v>158</v>
      </c>
      <c r="U36" s="31"/>
    </row>
    <row r="37" spans="1:21" x14ac:dyDescent="0.3">
      <c r="A37" s="27">
        <v>115563</v>
      </c>
      <c r="B37" s="1">
        <v>49</v>
      </c>
      <c r="C37" s="1">
        <v>0.3761613908578656</v>
      </c>
      <c r="D37" s="1">
        <v>2501</v>
      </c>
      <c r="E37" s="1">
        <v>2750</v>
      </c>
      <c r="F37" s="1">
        <f t="shared" si="4"/>
        <v>0</v>
      </c>
      <c r="G37" s="28">
        <f t="shared" si="5"/>
        <v>42.023642225370509</v>
      </c>
      <c r="H37" s="29">
        <f>IF(AND(F37=1,G37&lt;=KG_MAX),MAX($H36:H36)+1,0)</f>
        <v>0</v>
      </c>
      <c r="M37" s="38">
        <f t="shared" si="3"/>
        <v>0</v>
      </c>
      <c r="N37" s="38">
        <f t="shared" si="2"/>
        <v>2876</v>
      </c>
      <c r="O37" s="38">
        <v>3000</v>
      </c>
      <c r="P37" s="38" t="s">
        <v>36</v>
      </c>
      <c r="Q37" t="s">
        <v>282</v>
      </c>
      <c r="S37" s="1">
        <v>115562</v>
      </c>
      <c r="T37" t="s">
        <v>159</v>
      </c>
      <c r="U37" s="31"/>
    </row>
    <row r="38" spans="1:21" x14ac:dyDescent="0.3">
      <c r="A38" s="27">
        <v>115564</v>
      </c>
      <c r="B38" s="1">
        <v>52</v>
      </c>
      <c r="C38" s="1">
        <v>0.42091435379110159</v>
      </c>
      <c r="D38" s="1">
        <v>2501</v>
      </c>
      <c r="E38" s="1">
        <v>2750</v>
      </c>
      <c r="F38" s="1">
        <f t="shared" si="4"/>
        <v>0</v>
      </c>
      <c r="G38" s="28">
        <f t="shared" si="5"/>
        <v>46.711788542557365</v>
      </c>
      <c r="H38" s="29">
        <f>IF(AND(F38=1,G38&lt;=KG_MAX),MAX($H37:H37)+1,0)</f>
        <v>0</v>
      </c>
      <c r="S38" s="1">
        <v>115563</v>
      </c>
      <c r="T38" t="s">
        <v>160</v>
      </c>
      <c r="U38" s="31"/>
    </row>
    <row r="39" spans="1:21" x14ac:dyDescent="0.3">
      <c r="A39" s="27">
        <v>115565</v>
      </c>
      <c r="B39" s="1">
        <v>56</v>
      </c>
      <c r="C39" s="1">
        <v>0.46519809277465424</v>
      </c>
      <c r="D39" s="1">
        <v>2501</v>
      </c>
      <c r="E39" s="1">
        <v>2750</v>
      </c>
      <c r="F39" s="1">
        <f t="shared" si="4"/>
        <v>0</v>
      </c>
      <c r="G39" s="28">
        <f t="shared" si="5"/>
        <v>51.464335382662206</v>
      </c>
      <c r="H39" s="29">
        <f>IF(AND(F39=1,G39&lt;=KG_MAX),MAX($H38:H38)+1,0)</f>
        <v>0</v>
      </c>
      <c r="S39" s="1">
        <v>115564</v>
      </c>
      <c r="T39" t="s">
        <v>161</v>
      </c>
      <c r="U39" s="31"/>
    </row>
    <row r="40" spans="1:21" x14ac:dyDescent="0.3">
      <c r="A40" s="27">
        <v>115566</v>
      </c>
      <c r="B40" s="1">
        <v>69</v>
      </c>
      <c r="C40" s="1">
        <v>0.52554697867897271</v>
      </c>
      <c r="D40" s="1">
        <v>2501</v>
      </c>
      <c r="E40" s="1">
        <v>2750</v>
      </c>
      <c r="F40" s="1">
        <f t="shared" si="4"/>
        <v>0</v>
      </c>
      <c r="G40" s="28">
        <f t="shared" si="5"/>
        <v>58.772070015583644</v>
      </c>
      <c r="H40" s="29">
        <f>IF(AND(F40=1,G40&lt;=KG_MAX),MAX($H39:H39)+1,0)</f>
        <v>0</v>
      </c>
      <c r="S40" s="1">
        <v>115565</v>
      </c>
      <c r="T40" t="s">
        <v>162</v>
      </c>
      <c r="U40" s="31"/>
    </row>
    <row r="41" spans="1:21" x14ac:dyDescent="0.3">
      <c r="A41" s="27">
        <v>115567</v>
      </c>
      <c r="B41" s="1">
        <v>78</v>
      </c>
      <c r="C41" s="1">
        <v>0.60222567883703138</v>
      </c>
      <c r="D41" s="1">
        <v>2501</v>
      </c>
      <c r="E41" s="1">
        <v>2750</v>
      </c>
      <c r="F41" s="1">
        <f t="shared" si="4"/>
        <v>0</v>
      </c>
      <c r="G41" s="28">
        <f t="shared" si="5"/>
        <v>67.229572065837161</v>
      </c>
      <c r="H41" s="29">
        <f>IF(AND(F41=1,G41&lt;=KG_MAX),MAX($H40:H40)+1,0)</f>
        <v>0</v>
      </c>
      <c r="S41" s="1">
        <v>115566</v>
      </c>
      <c r="T41" t="s">
        <v>163</v>
      </c>
      <c r="U41" s="31"/>
    </row>
    <row r="42" spans="1:21" x14ac:dyDescent="0.3">
      <c r="A42" s="27">
        <v>115568</v>
      </c>
      <c r="B42" s="1">
        <v>85</v>
      </c>
      <c r="C42" s="1">
        <v>0.69126238075382007</v>
      </c>
      <c r="D42" s="1">
        <v>2501</v>
      </c>
      <c r="E42" s="1">
        <v>2750</v>
      </c>
      <c r="F42" s="1">
        <f t="shared" si="4"/>
        <v>0</v>
      </c>
      <c r="G42" s="28">
        <f t="shared" si="5"/>
        <v>76.670265223128865</v>
      </c>
      <c r="H42" s="29">
        <f>IF(AND(F42=1,G42&lt;=KG_MAX),MAX($H41:H41)+1,0)</f>
        <v>0</v>
      </c>
      <c r="S42" s="1">
        <v>115567</v>
      </c>
      <c r="T42" t="s">
        <v>164</v>
      </c>
      <c r="U42" s="31"/>
    </row>
    <row r="43" spans="1:21" x14ac:dyDescent="0.3">
      <c r="A43" s="27">
        <v>115569</v>
      </c>
      <c r="B43" s="1">
        <v>99</v>
      </c>
      <c r="C43" s="1">
        <v>0.79017155818995344</v>
      </c>
      <c r="D43" s="1">
        <v>2501</v>
      </c>
      <c r="E43" s="1">
        <v>2750</v>
      </c>
      <c r="F43" s="1">
        <f t="shared" si="4"/>
        <v>0</v>
      </c>
      <c r="G43" s="28">
        <f t="shared" si="5"/>
        <v>87.842944207597853</v>
      </c>
      <c r="H43" s="29">
        <f>IF(AND(F43=1,G43&lt;=KG_MAX),MAX($H42:H42)+1,0)</f>
        <v>0</v>
      </c>
      <c r="S43" s="1">
        <v>115568</v>
      </c>
      <c r="T43" t="s">
        <v>165</v>
      </c>
      <c r="U43" s="31"/>
    </row>
    <row r="44" spans="1:21" ht="15" thickBot="1" x14ac:dyDescent="0.35">
      <c r="A44" s="32">
        <v>115570</v>
      </c>
      <c r="B44" s="33">
        <v>108</v>
      </c>
      <c r="C44" s="33">
        <v>0.90011831037345558</v>
      </c>
      <c r="D44" s="33">
        <v>2501</v>
      </c>
      <c r="E44" s="33">
        <v>2750</v>
      </c>
      <c r="F44" s="33">
        <f t="shared" si="4"/>
        <v>0</v>
      </c>
      <c r="G44" s="34">
        <f t="shared" si="5"/>
        <v>99.539960975264748</v>
      </c>
      <c r="H44" s="35">
        <f>IF(AND(F44=1,G44&lt;=KG_MAX),MAX($H43:H43)+1,0)</f>
        <v>0</v>
      </c>
      <c r="S44" s="1">
        <v>115569</v>
      </c>
      <c r="T44" t="s">
        <v>166</v>
      </c>
      <c r="U44" s="31"/>
    </row>
    <row r="45" spans="1:21" x14ac:dyDescent="0.3">
      <c r="A45" s="6">
        <v>115581</v>
      </c>
      <c r="B45" s="7">
        <v>43</v>
      </c>
      <c r="C45" s="7">
        <v>0.28083705295338507</v>
      </c>
      <c r="D45" s="7">
        <v>2751</v>
      </c>
      <c r="E45" s="7">
        <v>3000</v>
      </c>
      <c r="F45" s="7">
        <f t="shared" si="4"/>
        <v>0</v>
      </c>
      <c r="G45" s="8">
        <f t="shared" si="5"/>
        <v>32.080775046304858</v>
      </c>
      <c r="H45" s="9">
        <f>IF(AND(F45=1,G45&lt;=KG_MAX),MAX($H44:H44)+1,0)</f>
        <v>0</v>
      </c>
      <c r="S45" s="1">
        <v>115570</v>
      </c>
      <c r="T45" t="s">
        <v>167</v>
      </c>
      <c r="U45" s="31"/>
    </row>
    <row r="46" spans="1:21" x14ac:dyDescent="0.3">
      <c r="A46" s="12">
        <v>115582</v>
      </c>
      <c r="B46" s="13">
        <v>45</v>
      </c>
      <c r="C46" s="13">
        <v>0.30158943816967915</v>
      </c>
      <c r="D46" s="13">
        <v>2751</v>
      </c>
      <c r="E46" s="13">
        <v>3000</v>
      </c>
      <c r="F46" s="13">
        <f t="shared" si="4"/>
        <v>0</v>
      </c>
      <c r="G46" s="14">
        <f t="shared" si="5"/>
        <v>34.321745841586917</v>
      </c>
      <c r="H46" s="15">
        <f>IF(AND(F46=1,G46&lt;=KG_MAX),MAX($H45:H45)+1,0)</f>
        <v>0</v>
      </c>
      <c r="S46" s="1">
        <v>115581</v>
      </c>
      <c r="T46" t="s">
        <v>168</v>
      </c>
      <c r="U46" s="31"/>
    </row>
    <row r="47" spans="1:21" x14ac:dyDescent="0.3">
      <c r="A47" s="12">
        <v>115583</v>
      </c>
      <c r="B47" s="13">
        <v>49</v>
      </c>
      <c r="C47" s="13">
        <v>0.34199324982732776</v>
      </c>
      <c r="D47" s="13">
        <v>2751</v>
      </c>
      <c r="E47" s="13">
        <v>3000</v>
      </c>
      <c r="F47" s="13">
        <f t="shared" si="4"/>
        <v>0</v>
      </c>
      <c r="G47" s="14">
        <f t="shared" si="5"/>
        <v>38.696480308873916</v>
      </c>
      <c r="H47" s="15">
        <f>IF(AND(F47=1,G47&lt;=KG_MAX),MAX($H46:H46)+1,0)</f>
        <v>0</v>
      </c>
      <c r="S47" s="1">
        <v>115582</v>
      </c>
      <c r="T47" t="s">
        <v>169</v>
      </c>
      <c r="U47" s="31"/>
    </row>
    <row r="48" spans="1:21" x14ac:dyDescent="0.3">
      <c r="A48" s="12">
        <v>115584</v>
      </c>
      <c r="B48" s="13">
        <v>52</v>
      </c>
      <c r="C48" s="13">
        <v>0.3829593650442778</v>
      </c>
      <c r="D48" s="13">
        <v>2751</v>
      </c>
      <c r="E48" s="13">
        <v>3000</v>
      </c>
      <c r="F48" s="13">
        <f t="shared" si="4"/>
        <v>0</v>
      </c>
      <c r="G48" s="14">
        <f t="shared" si="5"/>
        <v>43.01587798697215</v>
      </c>
      <c r="H48" s="15">
        <f>IF(AND(F48=1,G48&lt;=KG_MAX),MAX($H47:H47)+1,0)</f>
        <v>0</v>
      </c>
      <c r="S48" s="1">
        <v>115583</v>
      </c>
      <c r="T48" t="s">
        <v>170</v>
      </c>
      <c r="U48" s="31"/>
    </row>
    <row r="49" spans="1:21" x14ac:dyDescent="0.3">
      <c r="A49" s="12">
        <v>115585</v>
      </c>
      <c r="B49" s="13">
        <v>56</v>
      </c>
      <c r="C49" s="13">
        <v>0.42336317670192641</v>
      </c>
      <c r="D49" s="13">
        <v>2751</v>
      </c>
      <c r="E49" s="13">
        <v>3000</v>
      </c>
      <c r="F49" s="13">
        <f t="shared" si="4"/>
        <v>0</v>
      </c>
      <c r="G49" s="14">
        <f t="shared" si="5"/>
        <v>47.390612454259141</v>
      </c>
      <c r="H49" s="15">
        <f>IF(AND(F49=1,G49&lt;=KG_MAX),MAX($H48:H48)+1,0)</f>
        <v>0</v>
      </c>
      <c r="S49" s="1">
        <v>115584</v>
      </c>
      <c r="T49" t="s">
        <v>171</v>
      </c>
      <c r="U49" s="31"/>
    </row>
    <row r="50" spans="1:21" x14ac:dyDescent="0.3">
      <c r="A50" s="12">
        <v>115586</v>
      </c>
      <c r="B50" s="13">
        <v>69</v>
      </c>
      <c r="C50" s="13">
        <v>0.47798133944649313</v>
      </c>
      <c r="D50" s="13">
        <v>2751</v>
      </c>
      <c r="E50" s="13">
        <v>3000</v>
      </c>
      <c r="F50" s="13">
        <f t="shared" si="4"/>
        <v>0</v>
      </c>
      <c r="G50" s="14">
        <f t="shared" si="5"/>
        <v>54.140311347569522</v>
      </c>
      <c r="H50" s="15">
        <f>IF(AND(F50=1,G50&lt;=KG_MAX),MAX($H49:H49)+1,0)</f>
        <v>0</v>
      </c>
      <c r="S50" s="1">
        <v>115585</v>
      </c>
      <c r="T50" t="s">
        <v>172</v>
      </c>
      <c r="U50" s="31"/>
    </row>
    <row r="51" spans="1:21" x14ac:dyDescent="0.3">
      <c r="A51" s="12">
        <v>115587</v>
      </c>
      <c r="B51" s="13">
        <v>78</v>
      </c>
      <c r="C51" s="13">
        <v>0.54679769279360457</v>
      </c>
      <c r="D51" s="13">
        <v>2751</v>
      </c>
      <c r="E51" s="13">
        <v>3000</v>
      </c>
      <c r="F51" s="13">
        <f t="shared" si="4"/>
        <v>0</v>
      </c>
      <c r="G51" s="14">
        <f t="shared" si="5"/>
        <v>61.832208360654313</v>
      </c>
      <c r="H51" s="15">
        <f>IF(AND(F51=1,G51&lt;=KG_MAX),MAX($H50:H50)+1,0)</f>
        <v>0</v>
      </c>
      <c r="S51" s="1">
        <v>115586</v>
      </c>
      <c r="T51" t="s">
        <v>173</v>
      </c>
      <c r="U51" s="31"/>
    </row>
    <row r="52" spans="1:21" x14ac:dyDescent="0.3">
      <c r="A52" s="12">
        <v>115588</v>
      </c>
      <c r="B52" s="13">
        <v>85</v>
      </c>
      <c r="C52" s="13">
        <v>0.62816761966820323</v>
      </c>
      <c r="D52" s="13">
        <v>2751</v>
      </c>
      <c r="E52" s="13">
        <v>3000</v>
      </c>
      <c r="F52" s="13">
        <f t="shared" si="4"/>
        <v>0</v>
      </c>
      <c r="G52" s="14">
        <f t="shared" si="5"/>
        <v>70.526340506039531</v>
      </c>
      <c r="H52" s="15">
        <f>IF(AND(F52=1,G52&lt;=KG_MAX),MAX($H51:H51)+1,0)</f>
        <v>0</v>
      </c>
      <c r="S52" s="1">
        <v>115587</v>
      </c>
      <c r="T52" t="s">
        <v>174</v>
      </c>
      <c r="U52" s="31"/>
    </row>
    <row r="53" spans="1:21" x14ac:dyDescent="0.3">
      <c r="A53" s="12">
        <v>115589</v>
      </c>
      <c r="B53" s="13">
        <v>99</v>
      </c>
      <c r="C53" s="13">
        <v>0.71818364737871931</v>
      </c>
      <c r="D53" s="13">
        <v>2751</v>
      </c>
      <c r="E53" s="13">
        <v>3000</v>
      </c>
      <c r="F53" s="13">
        <f t="shared" si="4"/>
        <v>0</v>
      </c>
      <c r="G53" s="14">
        <f t="shared" si="5"/>
        <v>80.833038837410342</v>
      </c>
      <c r="H53" s="15">
        <f>IF(AND(F53=1,G53&lt;=KG_MAX),MAX($H52:H52)+1,0)</f>
        <v>0</v>
      </c>
      <c r="S53" s="1">
        <v>115588</v>
      </c>
      <c r="T53" t="s">
        <v>175</v>
      </c>
      <c r="U53" s="31"/>
    </row>
    <row r="54" spans="1:21" ht="15" thickBot="1" x14ac:dyDescent="0.35">
      <c r="A54" s="19">
        <v>115590</v>
      </c>
      <c r="B54" s="20">
        <v>108</v>
      </c>
      <c r="C54" s="20">
        <v>0.81769688531000462</v>
      </c>
      <c r="D54" s="20">
        <v>2751</v>
      </c>
      <c r="E54" s="20">
        <v>3000</v>
      </c>
      <c r="F54" s="20">
        <f t="shared" si="4"/>
        <v>0</v>
      </c>
      <c r="G54" s="21">
        <f t="shared" si="5"/>
        <v>91.514080189728347</v>
      </c>
      <c r="H54" s="22">
        <f>IF(AND(F54=1,G54&lt;=KG_MAX),MAX($H53:H53)+1,0)</f>
        <v>0</v>
      </c>
      <c r="S54" s="1">
        <v>115589</v>
      </c>
      <c r="T54" t="s">
        <v>176</v>
      </c>
      <c r="U54" s="31"/>
    </row>
    <row r="55" spans="1:21" x14ac:dyDescent="0.3">
      <c r="S55" s="1">
        <v>115590</v>
      </c>
      <c r="T55" t="s">
        <v>177</v>
      </c>
      <c r="U55" s="31"/>
    </row>
    <row r="56" spans="1:21" x14ac:dyDescent="0.3">
      <c r="U56" s="31"/>
    </row>
    <row r="57" spans="1:21" x14ac:dyDescent="0.3">
      <c r="U57" s="31"/>
    </row>
    <row r="58" spans="1:21" x14ac:dyDescent="0.3">
      <c r="U58" s="31"/>
    </row>
    <row r="59" spans="1:21" x14ac:dyDescent="0.3">
      <c r="U59" s="31"/>
    </row>
    <row r="60" spans="1:21" x14ac:dyDescent="0.3">
      <c r="U60" s="31"/>
    </row>
    <row r="61" spans="1:21" x14ac:dyDescent="0.3">
      <c r="U61" s="31"/>
    </row>
    <row r="62" spans="1:21" x14ac:dyDescent="0.3">
      <c r="U62" s="31"/>
    </row>
    <row r="63" spans="1:21" x14ac:dyDescent="0.3">
      <c r="U63" s="31"/>
    </row>
    <row r="64" spans="1:21" x14ac:dyDescent="0.3">
      <c r="U64" s="31"/>
    </row>
    <row r="65" spans="21:21" x14ac:dyDescent="0.3">
      <c r="U65" s="31"/>
    </row>
    <row r="66" spans="21:21" x14ac:dyDescent="0.3">
      <c r="U66" s="31"/>
    </row>
    <row r="67" spans="21:21" x14ac:dyDescent="0.3">
      <c r="U67" s="31"/>
    </row>
    <row r="68" spans="21:21" x14ac:dyDescent="0.3">
      <c r="U68" s="31"/>
    </row>
    <row r="69" spans="21:21" x14ac:dyDescent="0.3">
      <c r="U69" s="31"/>
    </row>
    <row r="70" spans="21:21" x14ac:dyDescent="0.3">
      <c r="U70" s="31"/>
    </row>
    <row r="71" spans="21:21" x14ac:dyDescent="0.3">
      <c r="U71" s="31"/>
    </row>
    <row r="72" spans="21:21" x14ac:dyDescent="0.3">
      <c r="U72" s="31"/>
    </row>
    <row r="73" spans="21:21" x14ac:dyDescent="0.3">
      <c r="U73" s="31"/>
    </row>
  </sheetData>
  <conditionalFormatting sqref="A2:H54">
    <cfRule type="expression" dxfId="3" priority="1">
      <formula>$A2=$K$10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5CFDE-14C5-45F9-B35D-937FAA1513CA}">
  <sheetPr codeName="Blad16"/>
  <dimension ref="A1:AM262"/>
  <sheetViews>
    <sheetView topLeftCell="B2" zoomScaleNormal="100" workbookViewId="0">
      <selection activeCell="O17" sqref="O17"/>
    </sheetView>
  </sheetViews>
  <sheetFormatPr defaultRowHeight="14.4" x14ac:dyDescent="0.3"/>
  <cols>
    <col min="1" max="1" width="9.33203125" bestFit="1" customWidth="1"/>
    <col min="2" max="2" width="9.109375" customWidth="1"/>
    <col min="3" max="3" width="11.33203125" bestFit="1" customWidth="1"/>
    <col min="9" max="9" width="9.109375" customWidth="1"/>
    <col min="15" max="15" width="11" bestFit="1" customWidth="1"/>
    <col min="17" max="17" width="11" bestFit="1" customWidth="1"/>
    <col min="20" max="20" width="11.33203125" bestFit="1" customWidth="1"/>
    <col min="21" max="23" width="9.109375" customWidth="1"/>
    <col min="25" max="25" width="10" bestFit="1" customWidth="1"/>
    <col min="26" max="26" width="9.109375" customWidth="1"/>
    <col min="31" max="31" width="9.109375" customWidth="1"/>
    <col min="32" max="32" width="11" bestFit="1" customWidth="1"/>
    <col min="33" max="33" width="8.88671875" style="1"/>
  </cols>
  <sheetData>
    <row r="1" spans="1:39" x14ac:dyDescent="0.3">
      <c r="A1" s="76"/>
    </row>
    <row r="2" spans="1:39" x14ac:dyDescent="0.3">
      <c r="A2" s="77"/>
      <c r="B2" t="s">
        <v>10</v>
      </c>
      <c r="C2" s="39">
        <f>DH</f>
        <v>2000</v>
      </c>
      <c r="D2" t="s">
        <v>37</v>
      </c>
      <c r="F2" t="s">
        <v>38</v>
      </c>
      <c r="G2" s="39">
        <v>3</v>
      </c>
      <c r="H2" t="s">
        <v>37</v>
      </c>
      <c r="J2" s="37" t="s">
        <v>39</v>
      </c>
      <c r="K2" t="s">
        <v>40</v>
      </c>
      <c r="L2" t="s">
        <v>41</v>
      </c>
      <c r="M2" t="s">
        <v>42</v>
      </c>
      <c r="O2" s="37" t="s">
        <v>43</v>
      </c>
      <c r="P2" s="37" t="s">
        <v>44</v>
      </c>
      <c r="Q2" s="37" t="s">
        <v>45</v>
      </c>
      <c r="S2" s="40" t="s">
        <v>46</v>
      </c>
      <c r="T2" s="40" t="s">
        <v>0</v>
      </c>
      <c r="U2" s="40" t="s">
        <v>47</v>
      </c>
      <c r="V2" s="40" t="s">
        <v>48</v>
      </c>
      <c r="W2" s="40" t="s">
        <v>49</v>
      </c>
      <c r="X2" s="40" t="s">
        <v>50</v>
      </c>
      <c r="Y2" s="40" t="s">
        <v>51</v>
      </c>
      <c r="Z2" s="40" t="s">
        <v>52</v>
      </c>
      <c r="AA2" s="40"/>
      <c r="AB2" s="40"/>
      <c r="AC2" s="40"/>
      <c r="AG2"/>
    </row>
    <row r="3" spans="1:39" x14ac:dyDescent="0.3">
      <c r="J3" t="s">
        <v>53</v>
      </c>
      <c r="K3" s="39">
        <f>1.5*25.4</f>
        <v>38.099999999999994</v>
      </c>
      <c r="L3" s="39">
        <f>1.5*25.4</f>
        <v>38.099999999999994</v>
      </c>
      <c r="M3" s="39">
        <v>0</v>
      </c>
      <c r="O3" s="39">
        <v>50.8</v>
      </c>
      <c r="P3" s="39">
        <v>8</v>
      </c>
      <c r="Q3" s="39">
        <v>329</v>
      </c>
      <c r="S3" s="45">
        <v>1</v>
      </c>
      <c r="T3" s="38">
        <f>_xlfn.IFNA(INDEX(SC_TABLE,MATCH($S3,$W$26:$W$155,0),MATCH(T$2,$B$25:$V$25,0)),NOSP)</f>
        <v>3296508382</v>
      </c>
      <c r="U3" s="42">
        <f t="shared" ref="U3:V22" si="0">_xlfn.IFNA(INDEX(SC_TABLE,MATCH($S3,$W$26:$W$155,0),MATCH(U$2,$B$25:$V$25,0)),0)</f>
        <v>2</v>
      </c>
      <c r="V3" s="43">
        <f t="shared" si="0"/>
        <v>6.8195790220146231</v>
      </c>
      <c r="W3" s="44">
        <f t="shared" ref="W3:W22" si="1">_xlfn.IFNA(INDEX(SC_TABLE,MATCH($S3,$W$26:$W$155,0),MATCH(W$2,$B$25:$V$25,0)),"")</f>
        <v>26667</v>
      </c>
      <c r="X3" s="42">
        <f t="shared" ref="X3:AC12" si="2">_xlfn.IFNA(INDEX(SC_TABLE,MATCH($S3,$W$26:$W$155,0),MATCH(X$2,$B$25:$V$25,0)),0)</f>
        <v>2138.6545272861904</v>
      </c>
      <c r="Y3" s="45" t="str">
        <f t="shared" si="2"/>
        <v>Center</v>
      </c>
      <c r="Z3" s="46">
        <f t="shared" si="2"/>
        <v>11.996916569449523</v>
      </c>
      <c r="AA3" s="41">
        <f t="shared" si="2"/>
        <v>0</v>
      </c>
      <c r="AB3" s="41">
        <f t="shared" si="2"/>
        <v>0</v>
      </c>
      <c r="AC3" s="41">
        <f t="shared" si="2"/>
        <v>0</v>
      </c>
      <c r="AG3"/>
      <c r="AM3" s="1"/>
    </row>
    <row r="4" spans="1:39" x14ac:dyDescent="0.3">
      <c r="B4" t="s">
        <v>54</v>
      </c>
      <c r="C4" s="39">
        <f>DW</f>
        <v>2400</v>
      </c>
      <c r="D4" t="s">
        <v>37</v>
      </c>
      <c r="F4" t="s">
        <v>55</v>
      </c>
      <c r="G4" s="39" t="s">
        <v>56</v>
      </c>
      <c r="H4" t="s">
        <v>57</v>
      </c>
      <c r="J4" t="s">
        <v>56</v>
      </c>
      <c r="K4" s="39">
        <f>2.1875*25.4</f>
        <v>55.5625</v>
      </c>
      <c r="L4" s="39">
        <f>2*25.4</f>
        <v>50.8</v>
      </c>
      <c r="M4" s="39">
        <v>0.75</v>
      </c>
      <c r="O4" s="39">
        <v>66.674999999999997</v>
      </c>
      <c r="P4" s="39">
        <v>7</v>
      </c>
      <c r="Q4" s="39">
        <v>339</v>
      </c>
      <c r="S4" s="45">
        <v>2</v>
      </c>
      <c r="T4" s="38">
        <f t="shared" ref="T4:T22" si="3">_xlfn.IFNA(INDEX(SC_TABLE,MATCH($S4,$W$26:$W$155,0),MATCH(T$2,$B$25:$V$25,0)),"")</f>
        <v>3296509132</v>
      </c>
      <c r="U4" s="42">
        <f t="shared" si="0"/>
        <v>2</v>
      </c>
      <c r="V4" s="43">
        <f t="shared" si="0"/>
        <v>6.9265098683867485</v>
      </c>
      <c r="W4" s="44">
        <f t="shared" si="1"/>
        <v>38250</v>
      </c>
      <c r="X4" s="42">
        <f t="shared" si="2"/>
        <v>2290.044628289028</v>
      </c>
      <c r="Y4" s="45" t="str">
        <f t="shared" si="2"/>
        <v>No cut</v>
      </c>
      <c r="Z4" s="46">
        <f t="shared" si="2"/>
        <v>13.079019687559821</v>
      </c>
      <c r="AA4" s="41">
        <f t="shared" si="2"/>
        <v>0</v>
      </c>
      <c r="AB4" s="41">
        <f t="shared" si="2"/>
        <v>0</v>
      </c>
      <c r="AC4" s="41">
        <f t="shared" si="2"/>
        <v>0</v>
      </c>
      <c r="AG4"/>
      <c r="AM4" s="1"/>
    </row>
    <row r="5" spans="1:39" x14ac:dyDescent="0.3">
      <c r="F5" t="s">
        <v>40</v>
      </c>
      <c r="G5" s="47">
        <f>INDEX($K$3:$M$4,MATCH($G$4,$J$3:$J$4,0),MATCH($F5,$K$2:$M$2,0))+($G$2/2)</f>
        <v>57.0625</v>
      </c>
      <c r="H5" t="s">
        <v>37</v>
      </c>
      <c r="S5" s="45">
        <v>3</v>
      </c>
      <c r="T5" s="38" t="str">
        <f t="shared" si="3"/>
        <v/>
      </c>
      <c r="U5" s="42">
        <f t="shared" si="0"/>
        <v>0</v>
      </c>
      <c r="V5" s="43">
        <f t="shared" si="0"/>
        <v>0</v>
      </c>
      <c r="W5" s="44" t="str">
        <f t="shared" si="1"/>
        <v/>
      </c>
      <c r="X5" s="42">
        <f t="shared" si="2"/>
        <v>0</v>
      </c>
      <c r="Y5" s="45">
        <f t="shared" si="2"/>
        <v>0</v>
      </c>
      <c r="Z5" s="46">
        <f t="shared" si="2"/>
        <v>0</v>
      </c>
      <c r="AA5" s="41">
        <f t="shared" si="2"/>
        <v>0</v>
      </c>
      <c r="AB5" s="41">
        <f t="shared" si="2"/>
        <v>0</v>
      </c>
      <c r="AC5" s="41">
        <f t="shared" si="2"/>
        <v>0</v>
      </c>
      <c r="AG5"/>
      <c r="AM5" s="1"/>
    </row>
    <row r="6" spans="1:39" x14ac:dyDescent="0.3">
      <c r="B6" t="s">
        <v>58</v>
      </c>
      <c r="C6" s="75">
        <f>KG</f>
        <v>125</v>
      </c>
      <c r="D6" t="s">
        <v>12</v>
      </c>
      <c r="F6" t="s">
        <v>41</v>
      </c>
      <c r="G6" s="47">
        <f>INDEX($K$3:$M$4,MATCH($G$4,$J$3:$J$4,0),MATCH($F6,$K$2:$M$2,0))+($G$2/2)</f>
        <v>52.3</v>
      </c>
      <c r="H6" t="s">
        <v>37</v>
      </c>
      <c r="O6" s="37" t="s">
        <v>59</v>
      </c>
      <c r="P6" s="37" t="s">
        <v>60</v>
      </c>
      <c r="S6" s="45">
        <v>4</v>
      </c>
      <c r="T6" s="38" t="str">
        <f t="shared" si="3"/>
        <v/>
      </c>
      <c r="U6" s="42">
        <f t="shared" si="0"/>
        <v>0</v>
      </c>
      <c r="V6" s="43">
        <f t="shared" si="0"/>
        <v>0</v>
      </c>
      <c r="W6" s="44" t="str">
        <f t="shared" si="1"/>
        <v/>
      </c>
      <c r="X6" s="42">
        <f t="shared" si="2"/>
        <v>0</v>
      </c>
      <c r="Y6" s="45">
        <f t="shared" si="2"/>
        <v>0</v>
      </c>
      <c r="Z6" s="46">
        <f t="shared" si="2"/>
        <v>0</v>
      </c>
      <c r="AA6" s="41">
        <f t="shared" si="2"/>
        <v>0</v>
      </c>
      <c r="AB6" s="41">
        <f t="shared" si="2"/>
        <v>0</v>
      </c>
      <c r="AC6" s="41">
        <f t="shared" si="2"/>
        <v>0</v>
      </c>
      <c r="AG6"/>
      <c r="AM6" s="1"/>
    </row>
    <row r="7" spans="1:39" x14ac:dyDescent="0.3">
      <c r="F7" t="s">
        <v>42</v>
      </c>
      <c r="G7" s="47">
        <f>INDEX($K$3:$M$4,MATCH($G$4,$J$3:$J$4,0),MATCH($F7,$K$2:$M$2,0))</f>
        <v>0.75</v>
      </c>
      <c r="H7" t="s">
        <v>61</v>
      </c>
      <c r="O7" s="39">
        <v>5</v>
      </c>
      <c r="P7" s="39">
        <v>1660</v>
      </c>
      <c r="S7" s="45">
        <v>5</v>
      </c>
      <c r="T7" s="38" t="str">
        <f t="shared" si="3"/>
        <v/>
      </c>
      <c r="U7" s="42">
        <f t="shared" si="0"/>
        <v>0</v>
      </c>
      <c r="V7" s="43">
        <f t="shared" si="0"/>
        <v>0</v>
      </c>
      <c r="W7" s="44" t="str">
        <f t="shared" si="1"/>
        <v/>
      </c>
      <c r="X7" s="42">
        <f t="shared" si="2"/>
        <v>0</v>
      </c>
      <c r="Y7" s="45">
        <f t="shared" si="2"/>
        <v>0</v>
      </c>
      <c r="Z7" s="46">
        <f t="shared" si="2"/>
        <v>0</v>
      </c>
      <c r="AA7" s="41">
        <f t="shared" si="2"/>
        <v>0</v>
      </c>
      <c r="AB7" s="41">
        <f t="shared" si="2"/>
        <v>0</v>
      </c>
      <c r="AC7" s="41">
        <f t="shared" si="2"/>
        <v>0</v>
      </c>
      <c r="AG7"/>
      <c r="AM7" s="1"/>
    </row>
    <row r="8" spans="1:39" x14ac:dyDescent="0.3">
      <c r="B8" t="s">
        <v>62</v>
      </c>
      <c r="C8" s="48">
        <f>O15/1.5</f>
        <v>10000</v>
      </c>
      <c r="D8" t="s">
        <v>63</v>
      </c>
      <c r="F8" t="s">
        <v>64</v>
      </c>
      <c r="G8" s="47">
        <f>PI()*(G6+G5)*G7</f>
        <v>257.67931993366034</v>
      </c>
      <c r="H8" t="s">
        <v>37</v>
      </c>
      <c r="J8" t="s">
        <v>65</v>
      </c>
      <c r="K8" s="39">
        <v>87</v>
      </c>
      <c r="L8" t="s">
        <v>37</v>
      </c>
      <c r="O8" s="39">
        <v>5.3</v>
      </c>
      <c r="P8" s="39">
        <v>1640</v>
      </c>
      <c r="S8" s="45">
        <v>6</v>
      </c>
      <c r="T8" s="38" t="str">
        <f t="shared" si="3"/>
        <v/>
      </c>
      <c r="U8" s="42">
        <f t="shared" si="0"/>
        <v>0</v>
      </c>
      <c r="V8" s="43">
        <f t="shared" si="0"/>
        <v>0</v>
      </c>
      <c r="W8" s="44" t="str">
        <f t="shared" si="1"/>
        <v/>
      </c>
      <c r="X8" s="42">
        <f t="shared" si="2"/>
        <v>0</v>
      </c>
      <c r="Y8" s="45">
        <f t="shared" si="2"/>
        <v>0</v>
      </c>
      <c r="Z8" s="46">
        <f t="shared" si="2"/>
        <v>0</v>
      </c>
      <c r="AA8" s="41">
        <f t="shared" si="2"/>
        <v>0</v>
      </c>
      <c r="AB8" s="41">
        <f t="shared" si="2"/>
        <v>0</v>
      </c>
      <c r="AC8" s="41">
        <f t="shared" si="2"/>
        <v>0</v>
      </c>
      <c r="AG8"/>
      <c r="AM8" s="1"/>
    </row>
    <row r="9" spans="1:39" x14ac:dyDescent="0.3">
      <c r="F9" t="s">
        <v>66</v>
      </c>
      <c r="G9" s="47">
        <f>PI()*G6*2</f>
        <v>328.61059156549231</v>
      </c>
      <c r="H9" t="s">
        <v>37</v>
      </c>
      <c r="J9" t="s">
        <v>67</v>
      </c>
      <c r="K9" s="39">
        <v>50</v>
      </c>
      <c r="L9" t="s">
        <v>68</v>
      </c>
      <c r="O9" s="39">
        <v>5.5</v>
      </c>
      <c r="P9" s="39">
        <v>1630</v>
      </c>
      <c r="S9" s="45">
        <v>7</v>
      </c>
      <c r="T9" s="38" t="str">
        <f t="shared" si="3"/>
        <v/>
      </c>
      <c r="U9" s="42">
        <f t="shared" si="0"/>
        <v>0</v>
      </c>
      <c r="V9" s="43">
        <f t="shared" si="0"/>
        <v>0</v>
      </c>
      <c r="W9" s="44" t="str">
        <f t="shared" si="1"/>
        <v/>
      </c>
      <c r="X9" s="42">
        <f t="shared" si="2"/>
        <v>0</v>
      </c>
      <c r="Y9" s="45">
        <f t="shared" si="2"/>
        <v>0</v>
      </c>
      <c r="Z9" s="46">
        <f t="shared" si="2"/>
        <v>0</v>
      </c>
      <c r="AA9" s="41">
        <f t="shared" si="2"/>
        <v>0</v>
      </c>
      <c r="AB9" s="41">
        <f t="shared" si="2"/>
        <v>0</v>
      </c>
      <c r="AC9" s="41">
        <f t="shared" si="2"/>
        <v>0</v>
      </c>
      <c r="AG9"/>
      <c r="AM9" s="1"/>
    </row>
    <row r="10" spans="1:39" x14ac:dyDescent="0.3">
      <c r="B10" t="s">
        <v>69</v>
      </c>
      <c r="C10" s="49">
        <f>(303/SC_DH)*SC_W</f>
        <v>18.9375</v>
      </c>
      <c r="D10" t="s">
        <v>12</v>
      </c>
      <c r="J10" t="s">
        <v>70</v>
      </c>
      <c r="K10" s="39">
        <v>116</v>
      </c>
      <c r="L10" t="s">
        <v>37</v>
      </c>
      <c r="O10" s="39">
        <v>6</v>
      </c>
      <c r="P10" s="39">
        <v>1590</v>
      </c>
      <c r="S10" s="45">
        <v>8</v>
      </c>
      <c r="T10" s="38" t="str">
        <f t="shared" si="3"/>
        <v/>
      </c>
      <c r="U10" s="42">
        <f t="shared" si="0"/>
        <v>0</v>
      </c>
      <c r="V10" s="43">
        <f t="shared" si="0"/>
        <v>0</v>
      </c>
      <c r="W10" s="44" t="str">
        <f t="shared" si="1"/>
        <v/>
      </c>
      <c r="X10" s="42">
        <f t="shared" si="2"/>
        <v>0</v>
      </c>
      <c r="Y10" s="45">
        <f t="shared" si="2"/>
        <v>0</v>
      </c>
      <c r="Z10" s="46">
        <f t="shared" si="2"/>
        <v>0</v>
      </c>
      <c r="AA10" s="41">
        <f t="shared" si="2"/>
        <v>0</v>
      </c>
      <c r="AB10" s="41">
        <f t="shared" si="2"/>
        <v>0</v>
      </c>
      <c r="AC10" s="41">
        <f t="shared" si="2"/>
        <v>0</v>
      </c>
      <c r="AG10"/>
      <c r="AM10" s="1"/>
    </row>
    <row r="11" spans="1:39" x14ac:dyDescent="0.3">
      <c r="B11" t="s">
        <v>71</v>
      </c>
      <c r="C11" s="50">
        <f>SC_W*9.81*G5</f>
        <v>69972.890625</v>
      </c>
      <c r="D11" t="s">
        <v>72</v>
      </c>
      <c r="F11" t="s">
        <v>73</v>
      </c>
      <c r="G11" s="39">
        <v>113</v>
      </c>
      <c r="H11" t="s">
        <v>37</v>
      </c>
      <c r="J11" t="s">
        <v>74</v>
      </c>
      <c r="K11" s="39">
        <v>50</v>
      </c>
      <c r="L11" t="s">
        <v>68</v>
      </c>
      <c r="O11" s="39">
        <v>6.5</v>
      </c>
      <c r="P11" s="39">
        <v>1560</v>
      </c>
      <c r="S11" s="45">
        <v>9</v>
      </c>
      <c r="T11" s="38" t="str">
        <f t="shared" si="3"/>
        <v/>
      </c>
      <c r="U11" s="42">
        <f t="shared" si="0"/>
        <v>0</v>
      </c>
      <c r="V11" s="43">
        <f t="shared" si="0"/>
        <v>0</v>
      </c>
      <c r="W11" s="44" t="str">
        <f t="shared" si="1"/>
        <v/>
      </c>
      <c r="X11" s="42">
        <f t="shared" si="2"/>
        <v>0</v>
      </c>
      <c r="Y11" s="45">
        <f t="shared" si="2"/>
        <v>0</v>
      </c>
      <c r="Z11" s="46">
        <f t="shared" si="2"/>
        <v>0</v>
      </c>
      <c r="AA11" s="41">
        <f t="shared" si="2"/>
        <v>0</v>
      </c>
      <c r="AB11" s="41">
        <f t="shared" si="2"/>
        <v>0</v>
      </c>
      <c r="AC11" s="41">
        <f t="shared" si="2"/>
        <v>0</v>
      </c>
      <c r="AG11"/>
      <c r="AM11" s="1"/>
    </row>
    <row r="12" spans="1:39" x14ac:dyDescent="0.3">
      <c r="B12" t="s">
        <v>75</v>
      </c>
      <c r="C12" s="50">
        <f>C10*9.81*G6</f>
        <v>9716.1305625000005</v>
      </c>
      <c r="D12" t="s">
        <v>72</v>
      </c>
      <c r="O12" s="39">
        <v>7</v>
      </c>
      <c r="P12" s="39">
        <v>1540</v>
      </c>
      <c r="S12" s="45">
        <v>10</v>
      </c>
      <c r="T12" s="38" t="str">
        <f t="shared" si="3"/>
        <v/>
      </c>
      <c r="U12" s="42">
        <f t="shared" si="0"/>
        <v>0</v>
      </c>
      <c r="V12" s="43">
        <f t="shared" si="0"/>
        <v>0</v>
      </c>
      <c r="W12" s="44" t="str">
        <f t="shared" si="1"/>
        <v/>
      </c>
      <c r="X12" s="42">
        <f t="shared" si="2"/>
        <v>0</v>
      </c>
      <c r="Y12" s="45">
        <f t="shared" si="2"/>
        <v>0</v>
      </c>
      <c r="Z12" s="46">
        <f t="shared" si="2"/>
        <v>0</v>
      </c>
      <c r="AA12" s="41">
        <f t="shared" si="2"/>
        <v>0</v>
      </c>
      <c r="AB12" s="41">
        <f t="shared" si="2"/>
        <v>0</v>
      </c>
      <c r="AC12" s="41">
        <f t="shared" si="2"/>
        <v>0</v>
      </c>
      <c r="AG12"/>
      <c r="AM12" s="1"/>
    </row>
    <row r="13" spans="1:39" x14ac:dyDescent="0.3">
      <c r="F13" t="s">
        <v>76</v>
      </c>
      <c r="G13" s="39">
        <f>21*46.7</f>
        <v>980.7</v>
      </c>
      <c r="H13" t="s">
        <v>72</v>
      </c>
      <c r="J13" t="s">
        <v>77</v>
      </c>
      <c r="K13" s="39">
        <v>0</v>
      </c>
      <c r="L13" t="s">
        <v>37</v>
      </c>
      <c r="O13" s="39">
        <v>7.5</v>
      </c>
      <c r="P13" s="39">
        <v>1510</v>
      </c>
      <c r="S13" s="45">
        <v>11</v>
      </c>
      <c r="T13" s="38" t="str">
        <f t="shared" si="3"/>
        <v/>
      </c>
      <c r="U13" s="42">
        <f t="shared" si="0"/>
        <v>0</v>
      </c>
      <c r="V13" s="43">
        <f t="shared" si="0"/>
        <v>0</v>
      </c>
      <c r="W13" s="44" t="str">
        <f t="shared" si="1"/>
        <v/>
      </c>
      <c r="X13" s="42">
        <f t="shared" ref="X13:AC22" si="4">_xlfn.IFNA(INDEX(SC_TABLE,MATCH($S13,$W$26:$W$155,0),MATCH(X$2,$B$25:$V$25,0)),0)</f>
        <v>0</v>
      </c>
      <c r="Y13" s="45">
        <f t="shared" si="4"/>
        <v>0</v>
      </c>
      <c r="Z13" s="46">
        <f t="shared" si="4"/>
        <v>0</v>
      </c>
      <c r="AA13" s="41">
        <f t="shared" si="4"/>
        <v>0</v>
      </c>
      <c r="AB13" s="41">
        <f t="shared" si="4"/>
        <v>0</v>
      </c>
      <c r="AC13" s="41">
        <f t="shared" si="4"/>
        <v>0</v>
      </c>
      <c r="AG13"/>
      <c r="AM13" s="1"/>
    </row>
    <row r="14" spans="1:39" x14ac:dyDescent="0.3">
      <c r="F14" t="s">
        <v>78</v>
      </c>
      <c r="G14" s="39">
        <v>0.75</v>
      </c>
      <c r="H14" t="s">
        <v>79</v>
      </c>
      <c r="J14" t="s">
        <v>80</v>
      </c>
      <c r="K14" s="39">
        <v>150</v>
      </c>
      <c r="L14" t="s">
        <v>37</v>
      </c>
      <c r="S14" s="45">
        <v>12</v>
      </c>
      <c r="T14" s="38" t="str">
        <f t="shared" si="3"/>
        <v/>
      </c>
      <c r="U14" s="42">
        <f t="shared" si="0"/>
        <v>0</v>
      </c>
      <c r="V14" s="43">
        <f t="shared" si="0"/>
        <v>0</v>
      </c>
      <c r="W14" s="44" t="str">
        <f t="shared" si="1"/>
        <v/>
      </c>
      <c r="X14" s="42">
        <f t="shared" si="4"/>
        <v>0</v>
      </c>
      <c r="Y14" s="45">
        <f t="shared" si="4"/>
        <v>0</v>
      </c>
      <c r="Z14" s="46">
        <f t="shared" si="4"/>
        <v>0</v>
      </c>
      <c r="AA14" s="41">
        <f t="shared" si="4"/>
        <v>0</v>
      </c>
      <c r="AB14" s="41">
        <f t="shared" si="4"/>
        <v>0</v>
      </c>
      <c r="AC14" s="41">
        <f t="shared" si="4"/>
        <v>0</v>
      </c>
      <c r="AG14"/>
      <c r="AM14" s="1"/>
    </row>
    <row r="15" spans="1:39" x14ac:dyDescent="0.3">
      <c r="B15" t="s">
        <v>81</v>
      </c>
      <c r="C15" s="51">
        <f>((SC_DH-G8-G11)/G9)+G7</f>
        <v>5.7082110920536628</v>
      </c>
      <c r="D15" t="s">
        <v>79</v>
      </c>
      <c r="F15" t="s">
        <v>82</v>
      </c>
      <c r="G15" s="39">
        <v>0</v>
      </c>
      <c r="H15" t="s">
        <v>79</v>
      </c>
      <c r="J15" t="s">
        <v>83</v>
      </c>
      <c r="K15" s="39">
        <v>490</v>
      </c>
      <c r="L15" t="s">
        <v>37</v>
      </c>
      <c r="N15" s="52" t="s">
        <v>84</v>
      </c>
      <c r="O15" s="48">
        <f>Lifetime</f>
        <v>15000</v>
      </c>
      <c r="P15" t="s">
        <v>85</v>
      </c>
      <c r="S15" s="45">
        <v>13</v>
      </c>
      <c r="T15" s="38" t="str">
        <f t="shared" si="3"/>
        <v/>
      </c>
      <c r="U15" s="42">
        <f t="shared" si="0"/>
        <v>0</v>
      </c>
      <c r="V15" s="43">
        <f t="shared" si="0"/>
        <v>0</v>
      </c>
      <c r="W15" s="44" t="str">
        <f t="shared" si="1"/>
        <v/>
      </c>
      <c r="X15" s="42">
        <f t="shared" si="4"/>
        <v>0</v>
      </c>
      <c r="Y15" s="45">
        <f t="shared" si="4"/>
        <v>0</v>
      </c>
      <c r="Z15" s="46">
        <f t="shared" si="4"/>
        <v>0</v>
      </c>
      <c r="AA15" s="41">
        <f t="shared" si="4"/>
        <v>0</v>
      </c>
      <c r="AB15" s="41">
        <f t="shared" si="4"/>
        <v>0</v>
      </c>
      <c r="AC15" s="41">
        <f t="shared" si="4"/>
        <v>0</v>
      </c>
      <c r="AG15"/>
      <c r="AM15" s="1"/>
    </row>
    <row r="16" spans="1:39" ht="15" thickBot="1" x14ac:dyDescent="0.35">
      <c r="N16" s="52" t="s">
        <v>86</v>
      </c>
      <c r="O16" s="53">
        <f>O15/1.2</f>
        <v>12500</v>
      </c>
      <c r="P16" t="s">
        <v>87</v>
      </c>
      <c r="S16" s="45">
        <v>14</v>
      </c>
      <c r="T16" s="38" t="str">
        <f t="shared" si="3"/>
        <v/>
      </c>
      <c r="U16" s="42">
        <f t="shared" si="0"/>
        <v>0</v>
      </c>
      <c r="V16" s="43">
        <f t="shared" si="0"/>
        <v>0</v>
      </c>
      <c r="W16" s="44" t="str">
        <f t="shared" si="1"/>
        <v/>
      </c>
      <c r="X16" s="42">
        <f t="shared" si="4"/>
        <v>0</v>
      </c>
      <c r="Y16" s="45">
        <f t="shared" si="4"/>
        <v>0</v>
      </c>
      <c r="Z16" s="46">
        <f t="shared" si="4"/>
        <v>0</v>
      </c>
      <c r="AA16" s="41">
        <f t="shared" si="4"/>
        <v>0</v>
      </c>
      <c r="AB16" s="41">
        <f t="shared" si="4"/>
        <v>0</v>
      </c>
      <c r="AC16" s="41">
        <f t="shared" si="4"/>
        <v>0</v>
      </c>
      <c r="AG16"/>
      <c r="AM16" s="1"/>
    </row>
    <row r="17" spans="1:39" ht="15" thickBot="1" x14ac:dyDescent="0.35">
      <c r="B17" t="s">
        <v>88</v>
      </c>
      <c r="C17" s="47">
        <f>MAX(W26:W155)</f>
        <v>2</v>
      </c>
      <c r="F17" t="s">
        <v>89</v>
      </c>
      <c r="G17" s="39">
        <v>3000</v>
      </c>
      <c r="M17" s="54"/>
      <c r="N17" s="55" t="s">
        <v>90</v>
      </c>
      <c r="O17" s="56" cm="1">
        <f t="array" ref="O17">IF(MAX(W3:W22)&gt;=O15,INDEX(T3:T22,MIN(IF(W3:W22&gt;=O15,ROW(W3:W22)-2,""))),IF(MAX(W3:W22)&gt;=O16,INDEX(T3:T22,MIN(IF(W3:W22&gt;=O16,ROW(W3:W22)-2,""))),T3))</f>
        <v>3296508382</v>
      </c>
      <c r="P17" s="57"/>
      <c r="Q17" t="str">
        <f>SC_RESULT_ITEM&amp;" ("&amp;SC_RESULT_QTY&amp;")"</f>
        <v>3296508382 (2)</v>
      </c>
      <c r="S17" s="45">
        <v>15</v>
      </c>
      <c r="T17" s="38" t="str">
        <f t="shared" si="3"/>
        <v/>
      </c>
      <c r="U17" s="42">
        <f t="shared" si="0"/>
        <v>0</v>
      </c>
      <c r="V17" s="43">
        <f t="shared" si="0"/>
        <v>0</v>
      </c>
      <c r="W17" s="44" t="str">
        <f t="shared" si="1"/>
        <v/>
      </c>
      <c r="X17" s="42">
        <f t="shared" si="4"/>
        <v>0</v>
      </c>
      <c r="Y17" s="45">
        <f t="shared" si="4"/>
        <v>0</v>
      </c>
      <c r="Z17" s="46">
        <f t="shared" si="4"/>
        <v>0</v>
      </c>
      <c r="AA17" s="41">
        <f t="shared" si="4"/>
        <v>0</v>
      </c>
      <c r="AB17" s="41">
        <f t="shared" si="4"/>
        <v>0</v>
      </c>
      <c r="AC17" s="41">
        <f t="shared" si="4"/>
        <v>0</v>
      </c>
      <c r="AG17"/>
      <c r="AM17" s="1"/>
    </row>
    <row r="18" spans="1:39" x14ac:dyDescent="0.3">
      <c r="H18" s="121"/>
      <c r="I18" s="122">
        <v>215</v>
      </c>
      <c r="J18" s="123"/>
      <c r="M18" s="58"/>
      <c r="N18" s="59" t="s">
        <v>91</v>
      </c>
      <c r="O18" s="60">
        <f>VLOOKUP(SC_RESULT_ITEM,$T$3:$AA$22,2,0)</f>
        <v>2</v>
      </c>
      <c r="P18" s="61"/>
      <c r="S18" s="45">
        <v>16</v>
      </c>
      <c r="T18" s="38" t="str">
        <f t="shared" si="3"/>
        <v/>
      </c>
      <c r="U18" s="42">
        <f t="shared" si="0"/>
        <v>0</v>
      </c>
      <c r="V18" s="43">
        <f t="shared" si="0"/>
        <v>0</v>
      </c>
      <c r="W18" s="44" t="str">
        <f t="shared" si="1"/>
        <v/>
      </c>
      <c r="X18" s="42">
        <f t="shared" si="4"/>
        <v>0</v>
      </c>
      <c r="Y18" s="45">
        <f t="shared" si="4"/>
        <v>0</v>
      </c>
      <c r="Z18" s="46">
        <f t="shared" si="4"/>
        <v>0</v>
      </c>
      <c r="AA18" s="41">
        <f t="shared" si="4"/>
        <v>0</v>
      </c>
      <c r="AB18" s="41">
        <f t="shared" si="4"/>
        <v>0</v>
      </c>
      <c r="AC18" s="41">
        <f t="shared" si="4"/>
        <v>0</v>
      </c>
      <c r="AG18"/>
      <c r="AM18" s="1"/>
    </row>
    <row r="19" spans="1:39" x14ac:dyDescent="0.3">
      <c r="B19" t="s">
        <v>92</v>
      </c>
      <c r="C19" s="39">
        <v>10.5</v>
      </c>
      <c r="D19" t="s">
        <v>93</v>
      </c>
      <c r="H19" s="124" t="s">
        <v>77</v>
      </c>
      <c r="I19" t="str">
        <f>"L = "&amp;DW+I18</f>
        <v>L = 2615</v>
      </c>
      <c r="J19" s="125"/>
      <c r="M19" s="58"/>
      <c r="N19" s="59" t="s">
        <v>94</v>
      </c>
      <c r="O19" s="60">
        <f>IFERROR(ROUND(VLOOKUP(SC_RESULT_ITEM,$T$3:$AA$22,3,0),1),"")</f>
        <v>6.8</v>
      </c>
      <c r="P19" s="61"/>
      <c r="S19" s="45">
        <v>17</v>
      </c>
      <c r="T19" s="38" t="str">
        <f t="shared" si="3"/>
        <v/>
      </c>
      <c r="U19" s="42">
        <f t="shared" si="0"/>
        <v>0</v>
      </c>
      <c r="V19" s="43">
        <f t="shared" si="0"/>
        <v>0</v>
      </c>
      <c r="W19" s="44" t="str">
        <f t="shared" si="1"/>
        <v/>
      </c>
      <c r="X19" s="42">
        <f t="shared" si="4"/>
        <v>0</v>
      </c>
      <c r="Y19" s="45">
        <f t="shared" si="4"/>
        <v>0</v>
      </c>
      <c r="Z19" s="46">
        <f t="shared" si="4"/>
        <v>0</v>
      </c>
      <c r="AA19" s="41">
        <f t="shared" si="4"/>
        <v>0</v>
      </c>
      <c r="AB19" s="41">
        <f t="shared" si="4"/>
        <v>0</v>
      </c>
      <c r="AC19" s="41">
        <f t="shared" si="4"/>
        <v>0</v>
      </c>
      <c r="AG19"/>
      <c r="AM19" s="1"/>
    </row>
    <row r="20" spans="1:39" x14ac:dyDescent="0.3">
      <c r="B20" t="s">
        <v>95</v>
      </c>
      <c r="C20" s="39">
        <v>5.5</v>
      </c>
      <c r="D20" t="s">
        <v>12</v>
      </c>
      <c r="H20" s="124" t="s">
        <v>80</v>
      </c>
      <c r="I20" t="str">
        <f>"L = "&amp;ROUND((DW+I18)/2,0)&amp;";L = "&amp;ROUND((DW+I18)/2,0)</f>
        <v>L = 1308;L = 1308</v>
      </c>
      <c r="J20" s="125"/>
      <c r="M20" s="58"/>
      <c r="N20" s="59" t="s">
        <v>96</v>
      </c>
      <c r="O20" s="62">
        <f>VLOOKUP(SC_RESULT_ITEM,$T$3:$AA$22,4,0)</f>
        <v>26667</v>
      </c>
      <c r="P20" s="61"/>
      <c r="S20" s="45">
        <v>18</v>
      </c>
      <c r="T20" s="38" t="str">
        <f t="shared" si="3"/>
        <v/>
      </c>
      <c r="U20" s="42">
        <f t="shared" si="0"/>
        <v>0</v>
      </c>
      <c r="V20" s="43">
        <f t="shared" si="0"/>
        <v>0</v>
      </c>
      <c r="W20" s="44" t="str">
        <f t="shared" si="1"/>
        <v/>
      </c>
      <c r="X20" s="42">
        <f t="shared" si="4"/>
        <v>0</v>
      </c>
      <c r="Y20" s="45">
        <f t="shared" si="4"/>
        <v>0</v>
      </c>
      <c r="Z20" s="46">
        <f t="shared" si="4"/>
        <v>0</v>
      </c>
      <c r="AA20" s="41">
        <f t="shared" si="4"/>
        <v>0</v>
      </c>
      <c r="AB20" s="41">
        <f t="shared" si="4"/>
        <v>0</v>
      </c>
      <c r="AC20" s="41">
        <f t="shared" si="4"/>
        <v>0</v>
      </c>
      <c r="AG20"/>
      <c r="AM20" s="1"/>
    </row>
    <row r="21" spans="1:39" x14ac:dyDescent="0.3">
      <c r="B21" t="s">
        <v>97</v>
      </c>
      <c r="C21" s="39">
        <f>2*0.768</f>
        <v>1.536</v>
      </c>
      <c r="D21" t="s">
        <v>98</v>
      </c>
      <c r="H21" s="124" t="s">
        <v>83</v>
      </c>
      <c r="I21" t="str">
        <f>"L = "&amp;ROUND((DW+I18)/2,0)-200&amp;";L = "&amp;ROUND((DW+I18)/2,0)+200</f>
        <v>L = 1108;L = 1508</v>
      </c>
      <c r="J21" s="125"/>
      <c r="M21" s="58"/>
      <c r="N21" s="59" t="s">
        <v>99</v>
      </c>
      <c r="O21" s="60">
        <f>IFERROR(ROUND(VLOOKUP(SC_RESULT_ITEM,$T$3:$AA$22,5,0),0),"")</f>
        <v>2139</v>
      </c>
      <c r="P21" s="61"/>
      <c r="S21" s="45">
        <v>19</v>
      </c>
      <c r="T21" s="38" t="str">
        <f t="shared" si="3"/>
        <v/>
      </c>
      <c r="U21" s="42">
        <f t="shared" si="0"/>
        <v>0</v>
      </c>
      <c r="V21" s="43">
        <f t="shared" si="0"/>
        <v>0</v>
      </c>
      <c r="W21" s="44" t="str">
        <f t="shared" si="1"/>
        <v/>
      </c>
      <c r="X21" s="42">
        <f t="shared" si="4"/>
        <v>0</v>
      </c>
      <c r="Y21" s="45">
        <f t="shared" si="4"/>
        <v>0</v>
      </c>
      <c r="Z21" s="46">
        <f t="shared" si="4"/>
        <v>0</v>
      </c>
      <c r="AA21" s="41">
        <f t="shared" si="4"/>
        <v>0</v>
      </c>
      <c r="AB21" s="41">
        <f t="shared" si="4"/>
        <v>0</v>
      </c>
      <c r="AC21" s="41">
        <f t="shared" si="4"/>
        <v>0</v>
      </c>
      <c r="AG21"/>
      <c r="AM21" s="1"/>
    </row>
    <row r="22" spans="1:39" x14ac:dyDescent="0.3">
      <c r="B22" t="s">
        <v>100</v>
      </c>
      <c r="C22" s="39">
        <v>1</v>
      </c>
      <c r="D22" t="s">
        <v>98</v>
      </c>
      <c r="H22" s="124"/>
      <c r="I22" s="47" t="str">
        <f>VLOOKUP(SC_RESULT_BUILD,H19:I21,2,0)</f>
        <v>L = 2615</v>
      </c>
      <c r="J22" s="125"/>
      <c r="M22" s="58"/>
      <c r="N22" s="59" t="s">
        <v>101</v>
      </c>
      <c r="O22" s="60" t="str">
        <f>IF(DW&gt;SC_NOCUTDW,VLOOKUP(SC_RESULT_ITEM,$T$3:$AA$22,6,0),"No cut")</f>
        <v>No cut</v>
      </c>
      <c r="P22" s="61"/>
      <c r="S22" s="45">
        <v>20</v>
      </c>
      <c r="T22" s="38" t="str">
        <f t="shared" si="3"/>
        <v/>
      </c>
      <c r="U22" s="42">
        <f t="shared" si="0"/>
        <v>0</v>
      </c>
      <c r="V22" s="43">
        <f t="shared" si="0"/>
        <v>0</v>
      </c>
      <c r="W22" s="44" t="str">
        <f t="shared" si="1"/>
        <v/>
      </c>
      <c r="X22" s="42">
        <f t="shared" si="4"/>
        <v>0</v>
      </c>
      <c r="Y22" s="45">
        <f t="shared" si="4"/>
        <v>0</v>
      </c>
      <c r="Z22" s="46">
        <f t="shared" si="4"/>
        <v>0</v>
      </c>
      <c r="AA22" s="41">
        <f t="shared" si="4"/>
        <v>0</v>
      </c>
      <c r="AB22" s="41">
        <f t="shared" si="4"/>
        <v>0</v>
      </c>
      <c r="AC22" s="41">
        <f t="shared" si="4"/>
        <v>0</v>
      </c>
      <c r="AG22"/>
      <c r="AM22" s="1"/>
    </row>
    <row r="23" spans="1:39" ht="15" thickBot="1" x14ac:dyDescent="0.35">
      <c r="C23">
        <f>(((SC_DH+20)*(SC_DW+20)*$C$19)/1000000)+$C$20+(SC_DH*$C$21/1000)+((SC_DW+20)*$C$22/1000)</f>
        <v>62.320200000000007</v>
      </c>
      <c r="H23" s="126" t="s">
        <v>190</v>
      </c>
      <c r="I23" s="127"/>
      <c r="J23" s="128"/>
      <c r="M23" s="63"/>
      <c r="N23" s="64" t="s">
        <v>102</v>
      </c>
      <c r="O23" s="65">
        <f>IFERROR(ROUND(VLOOKUP(SC_RESULT_ITEM,$T$3:$AA$22,7,0),3),"")</f>
        <v>11.997</v>
      </c>
      <c r="P23" s="66"/>
      <c r="AG23"/>
    </row>
    <row r="24" spans="1:39" x14ac:dyDescent="0.3">
      <c r="AG24"/>
    </row>
    <row r="25" spans="1:39" x14ac:dyDescent="0.3">
      <c r="B25" t="s">
        <v>103</v>
      </c>
      <c r="C25" t="s">
        <v>0</v>
      </c>
      <c r="D25" t="s">
        <v>104</v>
      </c>
      <c r="E25" t="s">
        <v>105</v>
      </c>
      <c r="F25" t="s">
        <v>106</v>
      </c>
      <c r="G25" t="s">
        <v>107</v>
      </c>
      <c r="H25" t="s">
        <v>108</v>
      </c>
      <c r="I25" t="s">
        <v>109</v>
      </c>
      <c r="J25" t="s">
        <v>110</v>
      </c>
      <c r="K25" t="s">
        <v>111</v>
      </c>
      <c r="L25" t="s">
        <v>52</v>
      </c>
      <c r="M25" t="s">
        <v>47</v>
      </c>
      <c r="N25" t="s">
        <v>112</v>
      </c>
      <c r="O25" t="s">
        <v>48</v>
      </c>
      <c r="P25" t="s">
        <v>113</v>
      </c>
      <c r="Q25" t="s">
        <v>114</v>
      </c>
      <c r="S25" t="s">
        <v>49</v>
      </c>
      <c r="T25" t="s">
        <v>50</v>
      </c>
      <c r="U25" t="s">
        <v>115</v>
      </c>
      <c r="V25" t="s">
        <v>51</v>
      </c>
      <c r="AG25"/>
    </row>
    <row r="26" spans="1:39" x14ac:dyDescent="0.3">
      <c r="A26" s="10"/>
      <c r="B26" s="10" t="s">
        <v>116</v>
      </c>
      <c r="C26" s="39">
        <v>3295004482</v>
      </c>
      <c r="D26">
        <f t="shared" ref="D26:D67" si="5">INDEX($O$3:$O$4,MATCH(VALUE(LEFT(C26,3)),$Q$3:$Q$4,0))</f>
        <v>50.8</v>
      </c>
      <c r="E26">
        <f t="shared" ref="E26:E67" si="6">VALUE(RIGHT(LEFT(C26,5),2))/10</f>
        <v>5</v>
      </c>
      <c r="F26">
        <f t="shared" ref="F26:F67" si="7">VALUE(RIGHT(LEFT(C26,9),4))</f>
        <v>448</v>
      </c>
      <c r="G26" s="67">
        <f t="shared" ref="G26:G67" si="8">(F26/E26)-1</f>
        <v>88.6</v>
      </c>
      <c r="H26" s="67">
        <f t="shared" ref="H26:H67" si="9">G26-VLOOKUP(D26,$O$3:$P$4,2,0)</f>
        <v>80.599999999999994</v>
      </c>
      <c r="I26" s="68">
        <f t="shared" ref="I26:I67" si="10">(($E26^4)*206000*PI())/(32*($D26+$E26))</f>
        <v>226523.32781680438</v>
      </c>
      <c r="J26" s="68">
        <f t="shared" ref="J26:J67" si="11">((E26^3)*VLOOKUP(E26,$O$7:$P$13,2,0)*PI())/32</f>
        <v>20371.264863121316</v>
      </c>
      <c r="K26" s="68">
        <f t="shared" ref="K26:K67" si="12">I26/H26</f>
        <v>2810.4631242779701</v>
      </c>
      <c r="L26" s="69">
        <f t="shared" ref="L26:L67" si="13">((PI()*((E26/2)^2))*(PI()*(D26+E26)))*G26*(7.85/1000000)*M26</f>
        <v>4.7879249685086567</v>
      </c>
      <c r="M26" s="39">
        <v>2</v>
      </c>
      <c r="N26" s="30">
        <f t="shared" ref="N26:N67" si="14">((SC_LMT/M26)+SC_SBD)/K26</f>
        <v>2.0775100127848232</v>
      </c>
      <c r="O26" s="30">
        <f t="shared" ref="O26:O67" si="15">N26+SC_RDT</f>
        <v>7.785721104838486</v>
      </c>
      <c r="P26" s="67">
        <f t="shared" ref="P26:P67" si="16">((((O26+SC_TOL_MIN)*K26)-SC_SBD)*M26)/(SC_HMA*9.81)</f>
        <v>74.674569945499158</v>
      </c>
      <c r="Q26" s="67">
        <f t="shared" ref="Q26:Q67" si="17">((((O26+SC_TOL_PLUS)*K26)-SC_SBD)*M26)/(SC_HMA*9.81)</f>
        <v>82.205512730558922</v>
      </c>
      <c r="R26">
        <f t="shared" ref="R26:R67" si="18">IF(AND(SC_W&gt;=P26,SC_W&lt;=Q26),1,0)</f>
        <v>0</v>
      </c>
      <c r="S26">
        <f t="shared" ref="S26:S67" si="19">_xlfn.IFNA(VLOOKUP(ROUND(VLOOKUP(ROUND(1-(SC_RDT/O26),2),SC_LT_TABLE,2,0)-(($I26*O26)/($H26*J26)),2),SC_LT_TABLE,3,0),0)</f>
        <v>10833</v>
      </c>
      <c r="T26" s="68">
        <f t="shared" ref="T26:T67" si="20">((F26+(O26*E26)+$K$9+$K$8+$K$11)*M26)+IF(M26=4,$K$10,0)</f>
        <v>1347.8572110483849</v>
      </c>
      <c r="U26" s="68">
        <f t="shared" ref="U26:U67" si="21">SC_DW-T26</f>
        <v>1052.1427889516151</v>
      </c>
      <c r="V26" t="str">
        <f>IF(U26&gt;=$K$15,$J$15,IF(U26&gt;=$K$14,$J$14,IF(AND(U26&gt;=$K$13,M26=4),$J$14,IF(U26&gt;=$K$13,$J$13,0))))</f>
        <v>Ex_Center</v>
      </c>
      <c r="W26">
        <f>IF(AND(R26=1,S26&gt;=SC_LT,V26&lt;&gt;0,OR(IF(AND($G$4=$J$4,B26="X"),TRUE,FALSE),IF(AND($G$4=$J$3,A26="X",D26&lt;&gt;$O$4),TRUE,FALSE))),MAX($W$25:W25)+1,0)</f>
        <v>0</v>
      </c>
      <c r="AG26"/>
    </row>
    <row r="27" spans="1:39" x14ac:dyDescent="0.3">
      <c r="A27" s="10"/>
      <c r="B27" s="10" t="s">
        <v>116</v>
      </c>
      <c r="C27" s="39">
        <v>3295004902</v>
      </c>
      <c r="D27">
        <f t="shared" si="5"/>
        <v>50.8</v>
      </c>
      <c r="E27">
        <f t="shared" si="6"/>
        <v>5</v>
      </c>
      <c r="F27">
        <f t="shared" si="7"/>
        <v>490</v>
      </c>
      <c r="G27" s="67">
        <f t="shared" si="8"/>
        <v>97</v>
      </c>
      <c r="H27" s="67">
        <f t="shared" si="9"/>
        <v>89</v>
      </c>
      <c r="I27" s="68">
        <f t="shared" si="10"/>
        <v>226523.32781680438</v>
      </c>
      <c r="J27" s="68">
        <f t="shared" si="11"/>
        <v>20371.264863121316</v>
      </c>
      <c r="K27" s="68">
        <f t="shared" si="12"/>
        <v>2545.2059305258917</v>
      </c>
      <c r="L27" s="69">
        <f t="shared" si="13"/>
        <v>5.2418591641686199</v>
      </c>
      <c r="M27" s="39">
        <v>2</v>
      </c>
      <c r="N27" s="30">
        <f t="shared" si="14"/>
        <v>2.2940247039435397</v>
      </c>
      <c r="O27" s="30">
        <f t="shared" si="15"/>
        <v>8.002235795997203</v>
      </c>
      <c r="P27" s="67">
        <f t="shared" si="16"/>
        <v>69.264817532463695</v>
      </c>
      <c r="Q27" s="67">
        <f t="shared" si="17"/>
        <v>76.084974706349286</v>
      </c>
      <c r="R27">
        <f t="shared" si="18"/>
        <v>0</v>
      </c>
      <c r="S27">
        <f t="shared" si="19"/>
        <v>16667</v>
      </c>
      <c r="T27" s="68">
        <f t="shared" si="20"/>
        <v>1434.0223579599719</v>
      </c>
      <c r="U27" s="68">
        <f t="shared" si="21"/>
        <v>965.97764204002806</v>
      </c>
      <c r="V27" t="str">
        <f t="shared" ref="V27:V67" si="22">IF(U27&gt;=$K$15,$J$15,IF(U27&gt;=$K$14,$J$14,IF(AND(U27&gt;=$K$13,M27=4),$J$14,IF(U27&gt;=$K$13,$J$13,0))))</f>
        <v>Ex_Center</v>
      </c>
      <c r="W27">
        <f>IF(AND(R27=1,S27&gt;=SC_LT,V27&lt;&gt;0,OR(IF(AND($G$4=$J$4,B27="X"),TRUE,FALSE),IF(AND($G$4=$J$3,A27="X",D27&lt;&gt;$O$4),TRUE,FALSE))),MAX($W$25:W26)+1,0)</f>
        <v>0</v>
      </c>
    </row>
    <row r="28" spans="1:39" x14ac:dyDescent="0.3">
      <c r="A28" s="10"/>
      <c r="B28" s="10" t="s">
        <v>116</v>
      </c>
      <c r="C28" s="39">
        <v>3295005332</v>
      </c>
      <c r="D28">
        <f t="shared" si="5"/>
        <v>50.8</v>
      </c>
      <c r="E28">
        <f t="shared" si="6"/>
        <v>5</v>
      </c>
      <c r="F28">
        <f t="shared" si="7"/>
        <v>533</v>
      </c>
      <c r="G28" s="67">
        <f t="shared" si="8"/>
        <v>105.6</v>
      </c>
      <c r="H28" s="67">
        <f t="shared" si="9"/>
        <v>97.6</v>
      </c>
      <c r="I28" s="68">
        <f t="shared" si="10"/>
        <v>226523.32781680438</v>
      </c>
      <c r="J28" s="68">
        <f t="shared" si="11"/>
        <v>20371.264863121316</v>
      </c>
      <c r="K28" s="68">
        <f t="shared" si="12"/>
        <v>2320.935735827914</v>
      </c>
      <c r="L28" s="69">
        <f t="shared" si="13"/>
        <v>5.706601316868106</v>
      </c>
      <c r="M28" s="39">
        <v>2</v>
      </c>
      <c r="N28" s="30">
        <f t="shared" si="14"/>
        <v>2.5156945067965104</v>
      </c>
      <c r="O28" s="30">
        <f t="shared" si="15"/>
        <v>8.2239055988501732</v>
      </c>
      <c r="P28" s="67">
        <f t="shared" si="16"/>
        <v>64.690968997847605</v>
      </c>
      <c r="Q28" s="67">
        <f t="shared" si="17"/>
        <v>70.910169699444083</v>
      </c>
      <c r="R28">
        <f t="shared" si="18"/>
        <v>0</v>
      </c>
      <c r="S28">
        <f t="shared" si="19"/>
        <v>23750</v>
      </c>
      <c r="T28" s="68">
        <f t="shared" si="20"/>
        <v>1522.2390559885018</v>
      </c>
      <c r="U28" s="68">
        <f t="shared" si="21"/>
        <v>877.76094401149817</v>
      </c>
      <c r="V28" t="str">
        <f t="shared" si="22"/>
        <v>Ex_Center</v>
      </c>
      <c r="W28">
        <f>IF(AND(R28=1,S28&gt;=SC_LT,V28&lt;&gt;0,OR(IF(AND($G$4=$J$4,B28="X"),TRUE,FALSE),IF(AND($G$4=$J$3,A28="X",D28&lt;&gt;$O$4),TRUE,FALSE))),MAX($W$25:W27)+1,0)</f>
        <v>0</v>
      </c>
    </row>
    <row r="29" spans="1:39" x14ac:dyDescent="0.3">
      <c r="A29" s="10"/>
      <c r="B29" s="10" t="s">
        <v>116</v>
      </c>
      <c r="C29" s="39">
        <v>3295005762</v>
      </c>
      <c r="D29">
        <f t="shared" si="5"/>
        <v>50.8</v>
      </c>
      <c r="E29">
        <f t="shared" si="6"/>
        <v>5</v>
      </c>
      <c r="F29">
        <f t="shared" si="7"/>
        <v>576</v>
      </c>
      <c r="G29" s="67">
        <f t="shared" si="8"/>
        <v>114.2</v>
      </c>
      <c r="H29" s="67">
        <f t="shared" si="9"/>
        <v>106.2</v>
      </c>
      <c r="I29" s="68">
        <f t="shared" si="10"/>
        <v>226523.32781680438</v>
      </c>
      <c r="J29" s="68">
        <f t="shared" si="11"/>
        <v>20371.264863121316</v>
      </c>
      <c r="K29" s="68">
        <f t="shared" si="12"/>
        <v>2132.9880208738641</v>
      </c>
      <c r="L29" s="69">
        <f t="shared" si="13"/>
        <v>6.1713434695675913</v>
      </c>
      <c r="M29" s="39">
        <v>2</v>
      </c>
      <c r="N29" s="30">
        <f t="shared" si="14"/>
        <v>2.737364309649482</v>
      </c>
      <c r="O29" s="30">
        <f t="shared" si="15"/>
        <v>8.4455754017031452</v>
      </c>
      <c r="P29" s="67">
        <f t="shared" si="16"/>
        <v>60.857894425523384</v>
      </c>
      <c r="Q29" s="67">
        <f t="shared" si="17"/>
        <v>66.573468704956682</v>
      </c>
      <c r="R29">
        <f t="shared" si="18"/>
        <v>0</v>
      </c>
      <c r="S29">
        <f t="shared" si="19"/>
        <v>35000</v>
      </c>
      <c r="T29" s="68">
        <f t="shared" si="20"/>
        <v>1610.4557540170315</v>
      </c>
      <c r="U29" s="68">
        <f t="shared" si="21"/>
        <v>789.5442459829685</v>
      </c>
      <c r="V29" t="str">
        <f t="shared" si="22"/>
        <v>Ex_Center</v>
      </c>
      <c r="W29">
        <f>IF(AND(R29=1,S29&gt;=SC_LT,V29&lt;&gt;0,OR(IF(AND($G$4=$J$4,B29="X"),TRUE,FALSE),IF(AND($G$4=$J$3,A29="X",D29&lt;&gt;$O$4),TRUE,FALSE))),MAX($W$25:W28)+1,0)</f>
        <v>0</v>
      </c>
    </row>
    <row r="30" spans="1:39" x14ac:dyDescent="0.3">
      <c r="A30" s="10"/>
      <c r="B30" s="10" t="s">
        <v>116</v>
      </c>
      <c r="C30" s="39">
        <v>3295006192</v>
      </c>
      <c r="D30">
        <f t="shared" si="5"/>
        <v>50.8</v>
      </c>
      <c r="E30">
        <f t="shared" si="6"/>
        <v>5</v>
      </c>
      <c r="F30">
        <f t="shared" si="7"/>
        <v>619</v>
      </c>
      <c r="G30" s="67">
        <f t="shared" si="8"/>
        <v>122.8</v>
      </c>
      <c r="H30" s="67">
        <f t="shared" si="9"/>
        <v>114.8</v>
      </c>
      <c r="I30" s="68">
        <f t="shared" si="10"/>
        <v>226523.32781680438</v>
      </c>
      <c r="J30" s="68">
        <f t="shared" si="11"/>
        <v>20371.264863121316</v>
      </c>
      <c r="K30" s="68">
        <f t="shared" si="12"/>
        <v>1973.1997196585748</v>
      </c>
      <c r="L30" s="69">
        <f t="shared" si="13"/>
        <v>6.6360856222670774</v>
      </c>
      <c r="M30" s="39">
        <v>2</v>
      </c>
      <c r="N30" s="30">
        <f t="shared" si="14"/>
        <v>2.9590341125024531</v>
      </c>
      <c r="O30" s="30">
        <f t="shared" si="15"/>
        <v>8.6672452045561155</v>
      </c>
      <c r="P30" s="67">
        <f t="shared" si="16"/>
        <v>57.599113256021262</v>
      </c>
      <c r="Q30" s="67">
        <f t="shared" si="17"/>
        <v>62.886517336821051</v>
      </c>
      <c r="R30">
        <f t="shared" si="18"/>
        <v>0</v>
      </c>
      <c r="S30">
        <f t="shared" si="19"/>
        <v>53125</v>
      </c>
      <c r="T30" s="68">
        <f t="shared" si="20"/>
        <v>1698.6724520455612</v>
      </c>
      <c r="U30" s="68">
        <f t="shared" si="21"/>
        <v>701.32754795443884</v>
      </c>
      <c r="V30" t="str">
        <f t="shared" si="22"/>
        <v>Ex_Center</v>
      </c>
      <c r="W30">
        <f>IF(AND(R30=1,S30&gt;=SC_LT,V30&lt;&gt;0,OR(IF(AND($G$4=$J$4,B30="X"),TRUE,FALSE),IF(AND($G$4=$J$3,A30="X",D30&lt;&gt;$O$4),TRUE,FALSE))),MAX($W$25:W29)+1,0)</f>
        <v>0</v>
      </c>
    </row>
    <row r="31" spans="1:39" x14ac:dyDescent="0.3">
      <c r="A31" s="10"/>
      <c r="B31" s="10" t="s">
        <v>116</v>
      </c>
      <c r="C31" s="39">
        <v>3295006632</v>
      </c>
      <c r="D31">
        <f t="shared" si="5"/>
        <v>50.8</v>
      </c>
      <c r="E31">
        <f t="shared" si="6"/>
        <v>5</v>
      </c>
      <c r="F31">
        <f t="shared" si="7"/>
        <v>663</v>
      </c>
      <c r="G31" s="67">
        <f t="shared" si="8"/>
        <v>131.6</v>
      </c>
      <c r="H31" s="67">
        <f t="shared" si="9"/>
        <v>123.6</v>
      </c>
      <c r="I31" s="68">
        <f t="shared" si="10"/>
        <v>226523.32781680438</v>
      </c>
      <c r="J31" s="68">
        <f t="shared" si="11"/>
        <v>20371.264863121316</v>
      </c>
      <c r="K31" s="68">
        <f t="shared" si="12"/>
        <v>1832.7130082265728</v>
      </c>
      <c r="L31" s="69">
        <f t="shared" si="13"/>
        <v>7.1116357320060857</v>
      </c>
      <c r="M31" s="39">
        <v>2</v>
      </c>
      <c r="N31" s="30">
        <f t="shared" si="14"/>
        <v>3.1858590270496792</v>
      </c>
      <c r="O31" s="30">
        <f t="shared" si="15"/>
        <v>8.8940701191033416</v>
      </c>
      <c r="P31" s="67">
        <f t="shared" si="16"/>
        <v>54.733975781638492</v>
      </c>
      <c r="Q31" s="67">
        <f t="shared" si="17"/>
        <v>59.644930380957391</v>
      </c>
      <c r="R31">
        <f t="shared" si="18"/>
        <v>0</v>
      </c>
      <c r="S31">
        <f t="shared" si="19"/>
        <v>65625</v>
      </c>
      <c r="T31" s="68">
        <f t="shared" si="20"/>
        <v>1788.9407011910334</v>
      </c>
      <c r="U31" s="68">
        <f t="shared" si="21"/>
        <v>611.05929880896656</v>
      </c>
      <c r="V31" t="str">
        <f t="shared" si="22"/>
        <v>Ex_Center</v>
      </c>
      <c r="W31">
        <f>IF(AND(R31=1,S31&gt;=SC_LT,V31&lt;&gt;0,OR(IF(AND($G$4=$J$4,B31="X"),TRUE,FALSE),IF(AND($G$4=$J$3,A31="X",D31&lt;&gt;$O$4),TRUE,FALSE))),MAX($W$25:W30)+1,0)</f>
        <v>0</v>
      </c>
    </row>
    <row r="32" spans="1:39" x14ac:dyDescent="0.3">
      <c r="A32" s="10"/>
      <c r="B32" s="10" t="s">
        <v>116</v>
      </c>
      <c r="C32" s="39">
        <v>3295305032</v>
      </c>
      <c r="D32">
        <f t="shared" si="5"/>
        <v>50.8</v>
      </c>
      <c r="E32">
        <f t="shared" si="6"/>
        <v>5.3</v>
      </c>
      <c r="F32">
        <f t="shared" si="7"/>
        <v>503</v>
      </c>
      <c r="G32" s="67">
        <f t="shared" si="8"/>
        <v>93.905660377358487</v>
      </c>
      <c r="H32" s="67">
        <f t="shared" si="9"/>
        <v>85.905660377358487</v>
      </c>
      <c r="I32" s="68">
        <f t="shared" si="10"/>
        <v>284451.17487941781</v>
      </c>
      <c r="J32" s="68">
        <f t="shared" si="11"/>
        <v>23970.183086284989</v>
      </c>
      <c r="K32" s="68">
        <f t="shared" si="12"/>
        <v>3311.2041002875344</v>
      </c>
      <c r="L32" s="69">
        <f t="shared" si="13"/>
        <v>5.7325226329304115</v>
      </c>
      <c r="M32" s="39">
        <v>2</v>
      </c>
      <c r="N32" s="30">
        <f t="shared" si="14"/>
        <v>1.7633359661347907</v>
      </c>
      <c r="O32" s="30">
        <f t="shared" si="15"/>
        <v>7.4715470581884533</v>
      </c>
      <c r="P32" s="67">
        <f t="shared" si="16"/>
        <v>84.886864907065103</v>
      </c>
      <c r="Q32" s="67">
        <f t="shared" si="17"/>
        <v>93.759597807742125</v>
      </c>
      <c r="R32">
        <f t="shared" si="18"/>
        <v>0</v>
      </c>
      <c r="S32">
        <f t="shared" si="19"/>
        <v>12500</v>
      </c>
      <c r="T32" s="68">
        <f t="shared" si="20"/>
        <v>1459.1983988167976</v>
      </c>
      <c r="U32" s="68">
        <f t="shared" si="21"/>
        <v>940.80160118320237</v>
      </c>
      <c r="V32" t="str">
        <f t="shared" si="22"/>
        <v>Ex_Center</v>
      </c>
      <c r="W32">
        <f>IF(AND(R32=1,S32&gt;=SC_LT,V32&lt;&gt;0,OR(IF(AND($G$4=$J$4,B32="X"),TRUE,FALSE),IF(AND($G$4=$J$3,A32="X",D32&lt;&gt;$O$4),TRUE,FALSE))),MAX($W$25:W31)+1,0)</f>
        <v>0</v>
      </c>
    </row>
    <row r="33" spans="1:23" x14ac:dyDescent="0.3">
      <c r="A33" s="10"/>
      <c r="B33" s="10" t="s">
        <v>116</v>
      </c>
      <c r="C33" s="39">
        <v>3295305512</v>
      </c>
      <c r="D33">
        <f t="shared" si="5"/>
        <v>50.8</v>
      </c>
      <c r="E33">
        <f t="shared" si="6"/>
        <v>5.3</v>
      </c>
      <c r="F33">
        <f t="shared" si="7"/>
        <v>551</v>
      </c>
      <c r="G33" s="67">
        <f t="shared" si="8"/>
        <v>102.9622641509434</v>
      </c>
      <c r="H33" s="67">
        <f t="shared" si="9"/>
        <v>94.962264150943398</v>
      </c>
      <c r="I33" s="68">
        <f t="shared" si="10"/>
        <v>284451.17487941781</v>
      </c>
      <c r="J33" s="68">
        <f t="shared" si="11"/>
        <v>23970.183086284989</v>
      </c>
      <c r="K33" s="68">
        <f t="shared" si="12"/>
        <v>2995.4127297057707</v>
      </c>
      <c r="L33" s="69">
        <f t="shared" si="13"/>
        <v>6.2853879863173105</v>
      </c>
      <c r="M33" s="39">
        <v>2</v>
      </c>
      <c r="N33" s="30">
        <f t="shared" si="14"/>
        <v>1.9492356506822759</v>
      </c>
      <c r="O33" s="30">
        <f t="shared" si="15"/>
        <v>7.6574467427359387</v>
      </c>
      <c r="P33" s="67">
        <f t="shared" si="16"/>
        <v>78.446499973486041</v>
      </c>
      <c r="Q33" s="67">
        <f t="shared" si="17"/>
        <v>86.473035418902796</v>
      </c>
      <c r="R33">
        <f t="shared" si="18"/>
        <v>0</v>
      </c>
      <c r="S33">
        <f t="shared" si="19"/>
        <v>18333</v>
      </c>
      <c r="T33" s="68">
        <f t="shared" si="20"/>
        <v>1557.1689354730011</v>
      </c>
      <c r="U33" s="68">
        <f t="shared" si="21"/>
        <v>842.83106452699894</v>
      </c>
      <c r="V33" t="str">
        <f t="shared" si="22"/>
        <v>Ex_Center</v>
      </c>
      <c r="W33">
        <f>IF(AND(R33=1,S33&gt;=SC_LT,V33&lt;&gt;0,OR(IF(AND($G$4=$J$4,B33="X"),TRUE,FALSE),IF(AND($G$4=$J$3,A33="X",D33&lt;&gt;$O$4),TRUE,FALSE))),MAX($W$25:W32)+1,0)</f>
        <v>0</v>
      </c>
    </row>
    <row r="34" spans="1:23" x14ac:dyDescent="0.3">
      <c r="A34" s="10"/>
      <c r="B34" s="10" t="s">
        <v>116</v>
      </c>
      <c r="C34" s="39">
        <v>3295306002</v>
      </c>
      <c r="D34">
        <f t="shared" si="5"/>
        <v>50.8</v>
      </c>
      <c r="E34">
        <f t="shared" si="6"/>
        <v>5.3</v>
      </c>
      <c r="F34">
        <f t="shared" si="7"/>
        <v>600</v>
      </c>
      <c r="G34" s="67">
        <f t="shared" si="8"/>
        <v>112.20754716981132</v>
      </c>
      <c r="H34" s="67">
        <f t="shared" si="9"/>
        <v>104.20754716981132</v>
      </c>
      <c r="I34" s="68">
        <f t="shared" si="10"/>
        <v>284451.17487941781</v>
      </c>
      <c r="J34" s="68">
        <f t="shared" si="11"/>
        <v>23970.183086284989</v>
      </c>
      <c r="K34" s="68">
        <f t="shared" si="12"/>
        <v>2729.6600160436619</v>
      </c>
      <c r="L34" s="69">
        <f t="shared" si="13"/>
        <v>6.8497713678997707</v>
      </c>
      <c r="M34" s="39">
        <v>2</v>
      </c>
      <c r="N34" s="30">
        <f t="shared" si="14"/>
        <v>2.1390082453245003</v>
      </c>
      <c r="O34" s="30">
        <f t="shared" si="15"/>
        <v>7.8472193373781636</v>
      </c>
      <c r="P34" s="67">
        <f t="shared" si="16"/>
        <v>73.026641745821863</v>
      </c>
      <c r="Q34" s="67">
        <f t="shared" si="17"/>
        <v>80.341063780365133</v>
      </c>
      <c r="R34">
        <f t="shared" si="18"/>
        <v>0</v>
      </c>
      <c r="S34">
        <f t="shared" si="19"/>
        <v>28333</v>
      </c>
      <c r="T34" s="68">
        <f t="shared" si="20"/>
        <v>1657.1805249762085</v>
      </c>
      <c r="U34" s="68">
        <f t="shared" si="21"/>
        <v>742.81947502379148</v>
      </c>
      <c r="V34" t="str">
        <f t="shared" si="22"/>
        <v>Ex_Center</v>
      </c>
      <c r="W34">
        <f>IF(AND(R34=1,S34&gt;=SC_LT,V34&lt;&gt;0,OR(IF(AND($G$4=$J$4,B34="X"),TRUE,FALSE),IF(AND($G$4=$J$3,A34="X",D34&lt;&gt;$O$4),TRUE,FALSE))),MAX($W$25:W33)+1,0)</f>
        <v>0</v>
      </c>
    </row>
    <row r="35" spans="1:23" x14ac:dyDescent="0.3">
      <c r="A35" s="10"/>
      <c r="B35" s="10" t="s">
        <v>116</v>
      </c>
      <c r="C35" s="39">
        <v>3295306492</v>
      </c>
      <c r="D35">
        <f t="shared" si="5"/>
        <v>50.8</v>
      </c>
      <c r="E35">
        <f t="shared" si="6"/>
        <v>5.3</v>
      </c>
      <c r="F35">
        <f t="shared" si="7"/>
        <v>649</v>
      </c>
      <c r="G35" s="67">
        <f t="shared" si="8"/>
        <v>121.45283018867924</v>
      </c>
      <c r="H35" s="67">
        <f t="shared" si="9"/>
        <v>113.45283018867924</v>
      </c>
      <c r="I35" s="68">
        <f t="shared" si="10"/>
        <v>284451.17487941781</v>
      </c>
      <c r="J35" s="68">
        <f t="shared" si="11"/>
        <v>23970.183086284989</v>
      </c>
      <c r="K35" s="68">
        <f t="shared" si="12"/>
        <v>2507.2197353416173</v>
      </c>
      <c r="L35" s="69">
        <f t="shared" si="13"/>
        <v>7.41415474948223</v>
      </c>
      <c r="M35" s="39">
        <v>2</v>
      </c>
      <c r="N35" s="30">
        <f t="shared" si="14"/>
        <v>2.3287808399667242</v>
      </c>
      <c r="O35" s="30">
        <f t="shared" si="15"/>
        <v>8.0369919320203866</v>
      </c>
      <c r="P35" s="67">
        <f t="shared" si="16"/>
        <v>68.490113147811897</v>
      </c>
      <c r="Q35" s="67">
        <f t="shared" si="17"/>
        <v>75.208482164406362</v>
      </c>
      <c r="R35">
        <f t="shared" si="18"/>
        <v>0</v>
      </c>
      <c r="S35">
        <f t="shared" si="19"/>
        <v>41500</v>
      </c>
      <c r="T35" s="68">
        <f t="shared" si="20"/>
        <v>1757.192114479416</v>
      </c>
      <c r="U35" s="68">
        <f t="shared" si="21"/>
        <v>642.80788552058402</v>
      </c>
      <c r="V35" t="str">
        <f t="shared" si="22"/>
        <v>Ex_Center</v>
      </c>
      <c r="W35">
        <f>IF(AND(R35=1,S35&gt;=SC_LT,V35&lt;&gt;0,OR(IF(AND($G$4=$J$4,B35="X"),TRUE,FALSE),IF(AND($G$4=$J$3,A35="X",D35&lt;&gt;$O$4),TRUE,FALSE))),MAX($W$25:W34)+1,0)</f>
        <v>0</v>
      </c>
    </row>
    <row r="36" spans="1:23" x14ac:dyDescent="0.3">
      <c r="A36" s="10"/>
      <c r="B36" s="10" t="s">
        <v>116</v>
      </c>
      <c r="C36" s="39">
        <v>3295306972</v>
      </c>
      <c r="D36">
        <f t="shared" si="5"/>
        <v>50.8</v>
      </c>
      <c r="E36">
        <f t="shared" si="6"/>
        <v>5.3</v>
      </c>
      <c r="F36">
        <f t="shared" si="7"/>
        <v>697</v>
      </c>
      <c r="G36" s="67">
        <f t="shared" si="8"/>
        <v>130.50943396226415</v>
      </c>
      <c r="H36" s="67">
        <f t="shared" si="9"/>
        <v>122.50943396226415</v>
      </c>
      <c r="I36" s="68">
        <f t="shared" si="10"/>
        <v>284451.17487941781</v>
      </c>
      <c r="J36" s="68">
        <f t="shared" si="11"/>
        <v>23970.183086284989</v>
      </c>
      <c r="K36" s="68">
        <f t="shared" si="12"/>
        <v>2321.8715953502456</v>
      </c>
      <c r="L36" s="69">
        <f t="shared" si="13"/>
        <v>7.9670201028691299</v>
      </c>
      <c r="M36" s="39">
        <v>2</v>
      </c>
      <c r="N36" s="30">
        <f t="shared" si="14"/>
        <v>2.5146805245142096</v>
      </c>
      <c r="O36" s="30">
        <f t="shared" si="15"/>
        <v>8.2228916165678729</v>
      </c>
      <c r="P36" s="67">
        <f t="shared" si="16"/>
        <v>64.710055259892314</v>
      </c>
      <c r="Q36" s="67">
        <f t="shared" si="17"/>
        <v>70.931763699255086</v>
      </c>
      <c r="R36">
        <f t="shared" si="18"/>
        <v>0</v>
      </c>
      <c r="S36">
        <f t="shared" si="19"/>
        <v>59375</v>
      </c>
      <c r="T36" s="68">
        <f t="shared" si="20"/>
        <v>1855.1626511356194</v>
      </c>
      <c r="U36" s="68">
        <f t="shared" si="21"/>
        <v>544.8373488643806</v>
      </c>
      <c r="V36" t="str">
        <f t="shared" si="22"/>
        <v>Ex_Center</v>
      </c>
      <c r="W36">
        <f>IF(AND(R36=1,S36&gt;=SC_LT,V36&lt;&gt;0,OR(IF(AND($G$4=$J$4,B36="X"),TRUE,FALSE),IF(AND($G$4=$J$3,A36="X",D36&lt;&gt;$O$4),TRUE,FALSE))),MAX($W$25:W35)+1,0)</f>
        <v>0</v>
      </c>
    </row>
    <row r="37" spans="1:23" x14ac:dyDescent="0.3">
      <c r="A37" s="10"/>
      <c r="B37" s="10" t="s">
        <v>116</v>
      </c>
      <c r="C37" s="39">
        <v>3295307462</v>
      </c>
      <c r="D37">
        <f t="shared" si="5"/>
        <v>50.8</v>
      </c>
      <c r="E37">
        <f t="shared" si="6"/>
        <v>5.3</v>
      </c>
      <c r="F37">
        <f t="shared" si="7"/>
        <v>746</v>
      </c>
      <c r="G37" s="67">
        <f t="shared" si="8"/>
        <v>139.75471698113208</v>
      </c>
      <c r="H37" s="67">
        <f t="shared" si="9"/>
        <v>131.75471698113208</v>
      </c>
      <c r="I37" s="68">
        <f t="shared" si="10"/>
        <v>284451.17487941781</v>
      </c>
      <c r="J37" s="68">
        <f t="shared" si="11"/>
        <v>23970.183086284989</v>
      </c>
      <c r="K37" s="68">
        <f t="shared" si="12"/>
        <v>2158.9449045695465</v>
      </c>
      <c r="L37" s="69">
        <f t="shared" si="13"/>
        <v>8.5314034844515891</v>
      </c>
      <c r="M37" s="39">
        <v>2</v>
      </c>
      <c r="N37" s="30">
        <f t="shared" si="14"/>
        <v>2.704453119156434</v>
      </c>
      <c r="O37" s="30">
        <f t="shared" si="15"/>
        <v>8.412664211210096</v>
      </c>
      <c r="P37" s="67">
        <f t="shared" si="16"/>
        <v>61.387268623528506</v>
      </c>
      <c r="Q37" s="67">
        <f t="shared" si="17"/>
        <v>67.172397206771024</v>
      </c>
      <c r="R37">
        <f t="shared" si="18"/>
        <v>0</v>
      </c>
      <c r="S37">
        <f t="shared" si="19"/>
        <v>75000</v>
      </c>
      <c r="T37" s="68">
        <f t="shared" si="20"/>
        <v>1955.1742406388271</v>
      </c>
      <c r="U37" s="68">
        <f t="shared" si="21"/>
        <v>444.82575936117291</v>
      </c>
      <c r="V37" t="str">
        <f t="shared" si="22"/>
        <v>Center</v>
      </c>
      <c r="W37">
        <f>IF(AND(R37=1,S37&gt;=SC_LT,V37&lt;&gt;0,OR(IF(AND($G$4=$J$4,B37="X"),TRUE,FALSE),IF(AND($G$4=$J$3,A37="X",D37&lt;&gt;$O$4),TRUE,FALSE))),MAX($W$25:W36)+1,0)</f>
        <v>0</v>
      </c>
    </row>
    <row r="38" spans="1:23" x14ac:dyDescent="0.3">
      <c r="A38" s="10"/>
      <c r="B38" s="10" t="s">
        <v>116</v>
      </c>
      <c r="C38" s="39">
        <v>3295307952</v>
      </c>
      <c r="D38">
        <f t="shared" si="5"/>
        <v>50.8</v>
      </c>
      <c r="E38">
        <f t="shared" si="6"/>
        <v>5.3</v>
      </c>
      <c r="F38">
        <f t="shared" si="7"/>
        <v>795</v>
      </c>
      <c r="G38" s="67">
        <f t="shared" si="8"/>
        <v>149</v>
      </c>
      <c r="H38" s="67">
        <f t="shared" si="9"/>
        <v>141</v>
      </c>
      <c r="I38" s="68">
        <f t="shared" si="10"/>
        <v>284451.17487941781</v>
      </c>
      <c r="J38" s="68">
        <f t="shared" si="11"/>
        <v>23970.183086284989</v>
      </c>
      <c r="K38" s="68">
        <f t="shared" si="12"/>
        <v>2017.3842190029632</v>
      </c>
      <c r="L38" s="69">
        <f t="shared" si="13"/>
        <v>9.0957868660340502</v>
      </c>
      <c r="M38" s="39">
        <v>2</v>
      </c>
      <c r="N38" s="30">
        <f t="shared" si="14"/>
        <v>2.8942257137986585</v>
      </c>
      <c r="O38" s="30">
        <f t="shared" si="15"/>
        <v>8.6024368058523208</v>
      </c>
      <c r="P38" s="67">
        <f t="shared" si="16"/>
        <v>58.500228127086636</v>
      </c>
      <c r="Q38" s="67">
        <f t="shared" si="17"/>
        <v>63.906029397899225</v>
      </c>
      <c r="R38">
        <f t="shared" si="18"/>
        <v>0</v>
      </c>
      <c r="S38">
        <f t="shared" si="19"/>
        <v>90625</v>
      </c>
      <c r="T38" s="68">
        <f t="shared" si="20"/>
        <v>2055.1858301420343</v>
      </c>
      <c r="U38" s="68">
        <f t="shared" si="21"/>
        <v>344.81416985796568</v>
      </c>
      <c r="V38" t="str">
        <f t="shared" si="22"/>
        <v>Center</v>
      </c>
      <c r="W38">
        <f>IF(AND(R38=1,S38&gt;=SC_LT,V38&lt;&gt;0,OR(IF(AND($G$4=$J$4,B38="X"),TRUE,FALSE),IF(AND($G$4=$J$3,A38="X",D38&lt;&gt;$O$4),TRUE,FALSE))),MAX($W$25:W37)+1,0)</f>
        <v>0</v>
      </c>
    </row>
    <row r="39" spans="1:23" x14ac:dyDescent="0.3">
      <c r="A39" s="10"/>
      <c r="B39" s="10" t="s">
        <v>116</v>
      </c>
      <c r="C39" s="39">
        <v>3295505412</v>
      </c>
      <c r="D39">
        <f t="shared" si="5"/>
        <v>50.8</v>
      </c>
      <c r="E39">
        <f t="shared" si="6"/>
        <v>5.5</v>
      </c>
      <c r="F39">
        <f t="shared" si="7"/>
        <v>541</v>
      </c>
      <c r="G39" s="67">
        <f t="shared" si="8"/>
        <v>97.36363636363636</v>
      </c>
      <c r="H39" s="67">
        <f t="shared" si="9"/>
        <v>89.36363636363636</v>
      </c>
      <c r="I39" s="68">
        <f t="shared" si="10"/>
        <v>328707.39746922464</v>
      </c>
      <c r="J39" s="68">
        <f t="shared" si="11"/>
        <v>26624.138709932282</v>
      </c>
      <c r="K39" s="68">
        <f t="shared" si="12"/>
        <v>3678.3126878550065</v>
      </c>
      <c r="L39" s="69">
        <f t="shared" si="13"/>
        <v>6.4234739318920102</v>
      </c>
      <c r="M39" s="39">
        <v>2</v>
      </c>
      <c r="N39" s="30">
        <f t="shared" si="14"/>
        <v>1.5873488136363014</v>
      </c>
      <c r="O39" s="30">
        <f t="shared" si="15"/>
        <v>7.2955599056899647</v>
      </c>
      <c r="P39" s="67">
        <f t="shared" si="16"/>
        <v>92.373811969075234</v>
      </c>
      <c r="Q39" s="67">
        <f t="shared" si="17"/>
        <v>102.23025241068825</v>
      </c>
      <c r="R39">
        <f t="shared" si="18"/>
        <v>0</v>
      </c>
      <c r="S39">
        <f t="shared" si="19"/>
        <v>13125</v>
      </c>
      <c r="T39" s="68">
        <f t="shared" si="20"/>
        <v>1536.2511589625897</v>
      </c>
      <c r="U39" s="68">
        <f t="shared" si="21"/>
        <v>863.74884103741033</v>
      </c>
      <c r="V39" t="str">
        <f t="shared" si="22"/>
        <v>Ex_Center</v>
      </c>
      <c r="W39">
        <f>IF(AND(R39=1,S39&gt;=SC_LT,V39&lt;&gt;0,OR(IF(AND($G$4=$J$4,B39="X"),TRUE,FALSE),IF(AND($G$4=$J$3,A39="X",D39&lt;&gt;$O$4),TRUE,FALSE))),MAX($W$25:W38)+1,0)</f>
        <v>0</v>
      </c>
    </row>
    <row r="40" spans="1:23" x14ac:dyDescent="0.3">
      <c r="A40" s="10"/>
      <c r="B40" s="10" t="s">
        <v>116</v>
      </c>
      <c r="C40" s="39">
        <v>3295505932</v>
      </c>
      <c r="D40">
        <f t="shared" si="5"/>
        <v>50.8</v>
      </c>
      <c r="E40">
        <f t="shared" si="6"/>
        <v>5.5</v>
      </c>
      <c r="F40">
        <f t="shared" si="7"/>
        <v>593</v>
      </c>
      <c r="G40" s="67">
        <f t="shared" si="8"/>
        <v>106.81818181818181</v>
      </c>
      <c r="H40" s="67">
        <f t="shared" si="9"/>
        <v>98.818181818181813</v>
      </c>
      <c r="I40" s="68">
        <f t="shared" si="10"/>
        <v>328707.39746922464</v>
      </c>
      <c r="J40" s="68">
        <f t="shared" si="11"/>
        <v>26624.138709932282</v>
      </c>
      <c r="K40" s="68">
        <f t="shared" si="12"/>
        <v>3326.3858069562752</v>
      </c>
      <c r="L40" s="69">
        <f t="shared" si="13"/>
        <v>7.0472286367629424</v>
      </c>
      <c r="M40" s="39">
        <v>2</v>
      </c>
      <c r="N40" s="30">
        <f t="shared" si="14"/>
        <v>1.7552880573984333</v>
      </c>
      <c r="O40" s="30">
        <f t="shared" si="15"/>
        <v>7.4634991494520957</v>
      </c>
      <c r="P40" s="67">
        <f t="shared" si="16"/>
        <v>85.196486196212788</v>
      </c>
      <c r="Q40" s="67">
        <f t="shared" si="17"/>
        <v>94.109900137432291</v>
      </c>
      <c r="R40">
        <f t="shared" si="18"/>
        <v>0</v>
      </c>
      <c r="S40">
        <f t="shared" si="19"/>
        <v>20000</v>
      </c>
      <c r="T40" s="68">
        <f t="shared" si="20"/>
        <v>1642.098490643973</v>
      </c>
      <c r="U40" s="68">
        <f t="shared" si="21"/>
        <v>757.90150935602696</v>
      </c>
      <c r="V40" t="str">
        <f t="shared" si="22"/>
        <v>Ex_Center</v>
      </c>
      <c r="W40">
        <f>IF(AND(R40=1,S40&gt;=SC_LT,V40&lt;&gt;0,OR(IF(AND($G$4=$J$4,B40="X"),TRUE,FALSE),IF(AND($G$4=$J$3,A40="X",D40&lt;&gt;$O$4),TRUE,FALSE))),MAX($W$25:W39)+1,0)</f>
        <v>0</v>
      </c>
    </row>
    <row r="41" spans="1:23" x14ac:dyDescent="0.3">
      <c r="A41" s="10"/>
      <c r="B41" s="10" t="s">
        <v>116</v>
      </c>
      <c r="C41" s="39">
        <v>3295506462</v>
      </c>
      <c r="D41">
        <f t="shared" si="5"/>
        <v>50.8</v>
      </c>
      <c r="E41">
        <f t="shared" si="6"/>
        <v>5.5</v>
      </c>
      <c r="F41">
        <f t="shared" si="7"/>
        <v>646</v>
      </c>
      <c r="G41" s="67">
        <f t="shared" si="8"/>
        <v>116.45454545454545</v>
      </c>
      <c r="H41" s="67">
        <f t="shared" si="9"/>
        <v>108.45454545454545</v>
      </c>
      <c r="I41" s="68">
        <f t="shared" si="10"/>
        <v>328707.39746922464</v>
      </c>
      <c r="J41" s="68">
        <f t="shared" si="11"/>
        <v>26624.138709932282</v>
      </c>
      <c r="K41" s="68">
        <f t="shared" si="12"/>
        <v>3030.8309909148961</v>
      </c>
      <c r="L41" s="69">
        <f t="shared" si="13"/>
        <v>7.6829786244198557</v>
      </c>
      <c r="M41" s="39">
        <v>2</v>
      </c>
      <c r="N41" s="30">
        <f t="shared" si="14"/>
        <v>1.9264569020021443</v>
      </c>
      <c r="O41" s="30">
        <f t="shared" si="15"/>
        <v>7.6346679940558069</v>
      </c>
      <c r="P41" s="67">
        <f t="shared" si="16"/>
        <v>79.168832971627722</v>
      </c>
      <c r="Q41" s="67">
        <f t="shared" si="17"/>
        <v>87.290275514884712</v>
      </c>
      <c r="R41">
        <f t="shared" si="18"/>
        <v>0</v>
      </c>
      <c r="S41">
        <f t="shared" si="19"/>
        <v>30000</v>
      </c>
      <c r="T41" s="68">
        <f t="shared" si="20"/>
        <v>1749.981347934614</v>
      </c>
      <c r="U41" s="68">
        <f t="shared" si="21"/>
        <v>650.01865206538605</v>
      </c>
      <c r="V41" t="str">
        <f t="shared" si="22"/>
        <v>Ex_Center</v>
      </c>
      <c r="W41">
        <f>IF(AND(R41=1,S41&gt;=SC_LT,V41&lt;&gt;0,OR(IF(AND($G$4=$J$4,B41="X"),TRUE,FALSE),IF(AND($G$4=$J$3,A41="X",D41&lt;&gt;$O$4),TRUE,FALSE))),MAX($W$25:W40)+1,0)</f>
        <v>0</v>
      </c>
    </row>
    <row r="42" spans="1:23" x14ac:dyDescent="0.3">
      <c r="A42" s="10"/>
      <c r="B42" s="10" t="s">
        <v>116</v>
      </c>
      <c r="C42" s="39">
        <v>3295506982</v>
      </c>
      <c r="D42">
        <f t="shared" si="5"/>
        <v>50.8</v>
      </c>
      <c r="E42">
        <f t="shared" si="6"/>
        <v>5.5</v>
      </c>
      <c r="F42">
        <f t="shared" si="7"/>
        <v>698</v>
      </c>
      <c r="G42" s="67">
        <f t="shared" si="8"/>
        <v>125.90909090909091</v>
      </c>
      <c r="H42" s="67">
        <f t="shared" si="9"/>
        <v>117.90909090909091</v>
      </c>
      <c r="I42" s="68">
        <f t="shared" si="10"/>
        <v>328707.39746922464</v>
      </c>
      <c r="J42" s="68">
        <f t="shared" si="11"/>
        <v>26624.138709932282</v>
      </c>
      <c r="K42" s="68">
        <f t="shared" si="12"/>
        <v>2787.8036793843262</v>
      </c>
      <c r="L42" s="69">
        <f t="shared" si="13"/>
        <v>8.3067333292907879</v>
      </c>
      <c r="M42" s="39">
        <v>2</v>
      </c>
      <c r="N42" s="30">
        <f t="shared" si="14"/>
        <v>2.0943961457642759</v>
      </c>
      <c r="O42" s="30">
        <f t="shared" si="15"/>
        <v>7.8026072378179387</v>
      </c>
      <c r="P42" s="67">
        <f t="shared" si="16"/>
        <v>74.212444922771198</v>
      </c>
      <c r="Q42" s="67">
        <f t="shared" si="17"/>
        <v>81.682669251302869</v>
      </c>
      <c r="R42">
        <f t="shared" si="18"/>
        <v>0</v>
      </c>
      <c r="S42">
        <f t="shared" si="19"/>
        <v>44750</v>
      </c>
      <c r="T42" s="68">
        <f t="shared" si="20"/>
        <v>1855.8286796159973</v>
      </c>
      <c r="U42" s="68">
        <f t="shared" si="21"/>
        <v>544.17132038400268</v>
      </c>
      <c r="V42" t="str">
        <f t="shared" si="22"/>
        <v>Ex_Center</v>
      </c>
      <c r="W42">
        <f>IF(AND(R42=1,S42&gt;=SC_LT,V42&lt;&gt;0,OR(IF(AND($G$4=$J$4,B42="X"),TRUE,FALSE),IF(AND($G$4=$J$3,A42="X",D42&lt;&gt;$O$4),TRUE,FALSE))),MAX($W$25:W41)+1,0)</f>
        <v>0</v>
      </c>
    </row>
    <row r="43" spans="1:23" x14ac:dyDescent="0.3">
      <c r="A43" s="10"/>
      <c r="B43" s="10" t="s">
        <v>116</v>
      </c>
      <c r="C43" s="39">
        <v>3295507512</v>
      </c>
      <c r="D43">
        <f t="shared" si="5"/>
        <v>50.8</v>
      </c>
      <c r="E43">
        <f t="shared" si="6"/>
        <v>5.5</v>
      </c>
      <c r="F43">
        <f t="shared" si="7"/>
        <v>751</v>
      </c>
      <c r="G43" s="67">
        <f t="shared" si="8"/>
        <v>135.54545454545453</v>
      </c>
      <c r="H43" s="67">
        <f t="shared" si="9"/>
        <v>127.54545454545453</v>
      </c>
      <c r="I43" s="68">
        <f t="shared" si="10"/>
        <v>328707.39746922464</v>
      </c>
      <c r="J43" s="68">
        <f t="shared" si="11"/>
        <v>26624.138709932282</v>
      </c>
      <c r="K43" s="68">
        <f t="shared" si="12"/>
        <v>2577.1784548549331</v>
      </c>
      <c r="L43" s="69">
        <f t="shared" si="13"/>
        <v>8.9424833169476994</v>
      </c>
      <c r="M43" s="39">
        <v>2</v>
      </c>
      <c r="N43" s="30">
        <f t="shared" si="14"/>
        <v>2.2655649903679871</v>
      </c>
      <c r="O43" s="30">
        <f t="shared" si="15"/>
        <v>7.9737760824216499</v>
      </c>
      <c r="P43" s="67">
        <f t="shared" si="16"/>
        <v>69.916876909980616</v>
      </c>
      <c r="Q43" s="67">
        <f t="shared" si="17"/>
        <v>76.822707953534149</v>
      </c>
      <c r="R43">
        <f t="shared" si="18"/>
        <v>0</v>
      </c>
      <c r="S43">
        <f t="shared" si="19"/>
        <v>65625</v>
      </c>
      <c r="T43" s="68">
        <f t="shared" si="20"/>
        <v>1963.7115369066382</v>
      </c>
      <c r="U43" s="68">
        <f t="shared" si="21"/>
        <v>436.28846309336177</v>
      </c>
      <c r="V43" t="str">
        <f t="shared" si="22"/>
        <v>Center</v>
      </c>
      <c r="W43">
        <f>IF(AND(R43=1,S43&gt;=SC_LT,V43&lt;&gt;0,OR(IF(AND($G$4=$J$4,B43="X"),TRUE,FALSE),IF(AND($G$4=$J$3,A43="X",D43&lt;&gt;$O$4),TRUE,FALSE))),MAX($W$25:W42)+1,0)</f>
        <v>0</v>
      </c>
    </row>
    <row r="44" spans="1:23" x14ac:dyDescent="0.3">
      <c r="A44" s="10"/>
      <c r="B44" s="10" t="s">
        <v>116</v>
      </c>
      <c r="C44" s="39">
        <v>3295508042</v>
      </c>
      <c r="D44">
        <f t="shared" si="5"/>
        <v>50.8</v>
      </c>
      <c r="E44">
        <f t="shared" si="6"/>
        <v>5.5</v>
      </c>
      <c r="F44">
        <f t="shared" si="7"/>
        <v>804</v>
      </c>
      <c r="G44" s="67">
        <f t="shared" si="8"/>
        <v>145.18181818181819</v>
      </c>
      <c r="H44" s="67">
        <f t="shared" si="9"/>
        <v>137.18181818181819</v>
      </c>
      <c r="I44" s="68">
        <f t="shared" si="10"/>
        <v>328707.39746922464</v>
      </c>
      <c r="J44" s="68">
        <f t="shared" si="11"/>
        <v>26624.138709932282</v>
      </c>
      <c r="K44" s="68">
        <f t="shared" si="12"/>
        <v>2396.1440504714851</v>
      </c>
      <c r="L44" s="69">
        <f t="shared" si="13"/>
        <v>9.5782333046046144</v>
      </c>
      <c r="M44" s="39">
        <v>2</v>
      </c>
      <c r="N44" s="30">
        <f t="shared" si="14"/>
        <v>2.4367338349716983</v>
      </c>
      <c r="O44" s="30">
        <f t="shared" si="15"/>
        <v>8.1449449270253602</v>
      </c>
      <c r="P44" s="67">
        <f t="shared" si="16"/>
        <v>66.224794926819982</v>
      </c>
      <c r="Q44" s="67">
        <f t="shared" si="17"/>
        <v>72.645524518672588</v>
      </c>
      <c r="R44">
        <f t="shared" si="18"/>
        <v>0</v>
      </c>
      <c r="S44">
        <f t="shared" si="19"/>
        <v>81250</v>
      </c>
      <c r="T44" s="68">
        <f t="shared" si="20"/>
        <v>2071.5943941972791</v>
      </c>
      <c r="U44" s="68">
        <f t="shared" si="21"/>
        <v>328.40560580272086</v>
      </c>
      <c r="V44" t="str">
        <f t="shared" si="22"/>
        <v>Center</v>
      </c>
      <c r="W44">
        <f>IF(AND(R44=1,S44&gt;=SC_LT,V44&lt;&gt;0,OR(IF(AND($G$4=$J$4,B44="X"),TRUE,FALSE),IF(AND($G$4=$J$3,A44="X",D44&lt;&gt;$O$4),TRUE,FALSE))),MAX($W$25:W43)+1,0)</f>
        <v>0</v>
      </c>
    </row>
    <row r="45" spans="1:23" x14ac:dyDescent="0.3">
      <c r="A45" s="10"/>
      <c r="B45" s="10" t="s">
        <v>116</v>
      </c>
      <c r="C45" s="39">
        <v>3295508572</v>
      </c>
      <c r="D45">
        <f t="shared" si="5"/>
        <v>50.8</v>
      </c>
      <c r="E45">
        <f t="shared" si="6"/>
        <v>5.5</v>
      </c>
      <c r="F45">
        <f t="shared" si="7"/>
        <v>857</v>
      </c>
      <c r="G45" s="67">
        <f t="shared" si="8"/>
        <v>154.81818181818181</v>
      </c>
      <c r="H45" s="67">
        <f t="shared" si="9"/>
        <v>146.81818181818181</v>
      </c>
      <c r="I45" s="68">
        <f t="shared" si="10"/>
        <v>328707.39746922464</v>
      </c>
      <c r="J45" s="68">
        <f t="shared" si="11"/>
        <v>26624.138709932282</v>
      </c>
      <c r="K45" s="68">
        <f t="shared" si="12"/>
        <v>2238.8739146510657</v>
      </c>
      <c r="L45" s="69">
        <f t="shared" si="13"/>
        <v>10.213983292261524</v>
      </c>
      <c r="M45" s="39">
        <v>2</v>
      </c>
      <c r="N45" s="30">
        <f t="shared" si="14"/>
        <v>2.607902679575409</v>
      </c>
      <c r="O45" s="30">
        <f t="shared" si="15"/>
        <v>8.3161137716290714</v>
      </c>
      <c r="P45" s="67">
        <f t="shared" si="16"/>
        <v>63.017370145164037</v>
      </c>
      <c r="Q45" s="67">
        <f t="shared" si="17"/>
        <v>69.016677237489489</v>
      </c>
      <c r="R45">
        <f t="shared" si="18"/>
        <v>0</v>
      </c>
      <c r="S45">
        <f t="shared" si="19"/>
        <v>90625</v>
      </c>
      <c r="T45" s="68">
        <f t="shared" si="20"/>
        <v>2179.4772514879196</v>
      </c>
      <c r="U45" s="68">
        <f t="shared" si="21"/>
        <v>220.5227485120804</v>
      </c>
      <c r="V45" t="str">
        <f t="shared" si="22"/>
        <v>Center</v>
      </c>
      <c r="W45">
        <f>IF(AND(R45=1,S45&gt;=SC_LT,V45&lt;&gt;0,OR(IF(AND($G$4=$J$4,B45="X"),TRUE,FALSE),IF(AND($G$4=$J$3,A45="X",D45&lt;&gt;$O$4),TRUE,FALSE))),MAX($W$25:W44)+1,0)</f>
        <v>0</v>
      </c>
    </row>
    <row r="46" spans="1:23" x14ac:dyDescent="0.3">
      <c r="A46" s="10"/>
      <c r="B46" s="10" t="s">
        <v>116</v>
      </c>
      <c r="C46" s="39">
        <v>3296006482</v>
      </c>
      <c r="D46">
        <f t="shared" si="5"/>
        <v>50.8</v>
      </c>
      <c r="E46">
        <f t="shared" si="6"/>
        <v>6</v>
      </c>
      <c r="F46">
        <f t="shared" si="7"/>
        <v>648</v>
      </c>
      <c r="G46" s="67">
        <f t="shared" si="8"/>
        <v>107</v>
      </c>
      <c r="H46" s="67">
        <f t="shared" si="9"/>
        <v>99</v>
      </c>
      <c r="I46" s="68">
        <f t="shared" si="10"/>
        <v>461449.07586090924</v>
      </c>
      <c r="J46" s="68">
        <f t="shared" si="11"/>
        <v>33717.143154652455</v>
      </c>
      <c r="K46" s="68">
        <f t="shared" si="12"/>
        <v>4661.1017763728205</v>
      </c>
      <c r="L46" s="69">
        <f t="shared" si="13"/>
        <v>8.4756696391489719</v>
      </c>
      <c r="M46" s="39">
        <v>2</v>
      </c>
      <c r="N46" s="30">
        <f t="shared" si="14"/>
        <v>1.2526577537625909</v>
      </c>
      <c r="O46" s="30">
        <f t="shared" si="15"/>
        <v>6.960868845816254</v>
      </c>
      <c r="P46" s="67">
        <f t="shared" si="16"/>
        <v>112.41717278395043</v>
      </c>
      <c r="Q46" s="67">
        <f t="shared" si="17"/>
        <v>124.90710388817806</v>
      </c>
      <c r="R46">
        <f t="shared" si="18"/>
        <v>0</v>
      </c>
      <c r="S46">
        <f t="shared" si="19"/>
        <v>15000</v>
      </c>
      <c r="T46" s="68">
        <f t="shared" si="20"/>
        <v>1753.5304261497949</v>
      </c>
      <c r="U46" s="68">
        <f t="shared" si="21"/>
        <v>646.46957385020505</v>
      </c>
      <c r="V46" t="str">
        <f t="shared" si="22"/>
        <v>Ex_Center</v>
      </c>
      <c r="W46">
        <f>IF(AND(R46=1,S46&gt;=SC_LT,V46&lt;&gt;0,OR(IF(AND($G$4=$J$4,B46="X"),TRUE,FALSE),IF(AND($G$4=$J$3,A46="X",D46&lt;&gt;$O$4),TRUE,FALSE))),MAX($W$25:W45)+1,0)</f>
        <v>0</v>
      </c>
    </row>
    <row r="47" spans="1:23" x14ac:dyDescent="0.3">
      <c r="A47" s="10"/>
      <c r="B47" s="10" t="s">
        <v>116</v>
      </c>
      <c r="C47" s="39">
        <v>3296007112</v>
      </c>
      <c r="D47">
        <f t="shared" si="5"/>
        <v>50.8</v>
      </c>
      <c r="E47">
        <f t="shared" si="6"/>
        <v>6</v>
      </c>
      <c r="F47">
        <f t="shared" si="7"/>
        <v>711</v>
      </c>
      <c r="G47" s="67">
        <f t="shared" si="8"/>
        <v>117.5</v>
      </c>
      <c r="H47" s="67">
        <f t="shared" si="9"/>
        <v>109.5</v>
      </c>
      <c r="I47" s="68">
        <f t="shared" si="10"/>
        <v>461449.07586090924</v>
      </c>
      <c r="J47" s="68">
        <f t="shared" si="11"/>
        <v>33717.143154652455</v>
      </c>
      <c r="K47" s="68">
        <f t="shared" si="12"/>
        <v>4214.1468115151529</v>
      </c>
      <c r="L47" s="69">
        <f t="shared" si="13"/>
        <v>9.307394229906583</v>
      </c>
      <c r="M47" s="39">
        <v>2</v>
      </c>
      <c r="N47" s="30">
        <f t="shared" si="14"/>
        <v>1.3855153943131688</v>
      </c>
      <c r="O47" s="30">
        <f t="shared" si="15"/>
        <v>7.0937264863668315</v>
      </c>
      <c r="P47" s="67">
        <f t="shared" si="16"/>
        <v>103.30180944373187</v>
      </c>
      <c r="Q47" s="67">
        <f t="shared" si="17"/>
        <v>114.5940759215267</v>
      </c>
      <c r="R47">
        <f t="shared" si="18"/>
        <v>0</v>
      </c>
      <c r="S47">
        <f t="shared" si="19"/>
        <v>22500</v>
      </c>
      <c r="T47" s="68">
        <f t="shared" si="20"/>
        <v>1881.1247178364019</v>
      </c>
      <c r="U47" s="68">
        <f t="shared" si="21"/>
        <v>518.87528216359806</v>
      </c>
      <c r="V47" t="str">
        <f t="shared" si="22"/>
        <v>Ex_Center</v>
      </c>
      <c r="W47">
        <f>IF(AND(R47=1,S47&gt;=SC_LT,V47&lt;&gt;0,OR(IF(AND($G$4=$J$4,B47="X"),TRUE,FALSE),IF(AND($G$4=$J$3,A47="X",D47&lt;&gt;$O$4),TRUE,FALSE))),MAX($W$25:W46)+1,0)</f>
        <v>0</v>
      </c>
    </row>
    <row r="48" spans="1:23" x14ac:dyDescent="0.3">
      <c r="A48" s="10"/>
      <c r="B48" s="10" t="s">
        <v>116</v>
      </c>
      <c r="C48" s="39">
        <v>3296007752</v>
      </c>
      <c r="D48">
        <f t="shared" si="5"/>
        <v>50.8</v>
      </c>
      <c r="E48">
        <f t="shared" si="6"/>
        <v>6</v>
      </c>
      <c r="F48">
        <f t="shared" si="7"/>
        <v>775</v>
      </c>
      <c r="G48" s="67">
        <f t="shared" si="8"/>
        <v>128.16666666666666</v>
      </c>
      <c r="H48" s="67">
        <f t="shared" si="9"/>
        <v>120.16666666666666</v>
      </c>
      <c r="I48" s="68">
        <f t="shared" si="10"/>
        <v>461449.07586090924</v>
      </c>
      <c r="J48" s="68">
        <f t="shared" si="11"/>
        <v>33717.143154652455</v>
      </c>
      <c r="K48" s="68">
        <f t="shared" si="12"/>
        <v>3840.0755272752508</v>
      </c>
      <c r="L48" s="69">
        <f t="shared" si="13"/>
        <v>10.152320798295266</v>
      </c>
      <c r="M48" s="39">
        <v>2</v>
      </c>
      <c r="N48" s="30">
        <f t="shared" si="14"/>
        <v>1.5204818863010572</v>
      </c>
      <c r="O48" s="30">
        <f t="shared" si="15"/>
        <v>7.2286929783547205</v>
      </c>
      <c r="P48" s="67">
        <f t="shared" si="16"/>
        <v>95.6728625942999</v>
      </c>
      <c r="Q48" s="67">
        <f t="shared" si="17"/>
        <v>105.9627642252447</v>
      </c>
      <c r="R48">
        <f t="shared" si="18"/>
        <v>0</v>
      </c>
      <c r="S48">
        <f t="shared" si="19"/>
        <v>33333</v>
      </c>
      <c r="T48" s="68">
        <f t="shared" si="20"/>
        <v>2010.7443157402568</v>
      </c>
      <c r="U48" s="68">
        <f t="shared" si="21"/>
        <v>389.25568425974325</v>
      </c>
      <c r="V48" t="str">
        <f t="shared" si="22"/>
        <v>Center</v>
      </c>
      <c r="W48">
        <f>IF(AND(R48=1,S48&gt;=SC_LT,V48&lt;&gt;0,OR(IF(AND($G$4=$J$4,B48="X"),TRUE,FALSE),IF(AND($G$4=$J$3,A48="X",D48&lt;&gt;$O$4),TRUE,FALSE))),MAX($W$25:W47)+1,0)</f>
        <v>0</v>
      </c>
    </row>
    <row r="49" spans="1:23" x14ac:dyDescent="0.3">
      <c r="A49" s="10"/>
      <c r="B49" s="10" t="s">
        <v>116</v>
      </c>
      <c r="C49" s="39">
        <v>3296008382</v>
      </c>
      <c r="D49">
        <f t="shared" si="5"/>
        <v>50.8</v>
      </c>
      <c r="E49">
        <f t="shared" si="6"/>
        <v>6</v>
      </c>
      <c r="F49">
        <f t="shared" si="7"/>
        <v>838</v>
      </c>
      <c r="G49" s="67">
        <f t="shared" si="8"/>
        <v>138.66666666666666</v>
      </c>
      <c r="H49" s="67">
        <f t="shared" si="9"/>
        <v>130.66666666666666</v>
      </c>
      <c r="I49" s="68">
        <f t="shared" si="10"/>
        <v>461449.07586090924</v>
      </c>
      <c r="J49" s="68">
        <f t="shared" si="11"/>
        <v>33717.143154652455</v>
      </c>
      <c r="K49" s="68">
        <f t="shared" si="12"/>
        <v>3531.4980295477749</v>
      </c>
      <c r="L49" s="69">
        <f t="shared" si="13"/>
        <v>10.984045389052874</v>
      </c>
      <c r="M49" s="39">
        <v>2</v>
      </c>
      <c r="N49" s="30">
        <f t="shared" si="14"/>
        <v>1.6533395268516351</v>
      </c>
      <c r="O49" s="30">
        <f t="shared" si="15"/>
        <v>7.3615506189052979</v>
      </c>
      <c r="P49" s="67">
        <f t="shared" si="16"/>
        <v>89.379620027239156</v>
      </c>
      <c r="Q49" s="67">
        <f t="shared" si="17"/>
        <v>98.842654562840181</v>
      </c>
      <c r="R49">
        <f t="shared" si="18"/>
        <v>0</v>
      </c>
      <c r="S49">
        <f t="shared" si="19"/>
        <v>53125</v>
      </c>
      <c r="T49" s="68">
        <f t="shared" si="20"/>
        <v>2138.3386074268637</v>
      </c>
      <c r="U49" s="68">
        <f t="shared" si="21"/>
        <v>261.66139257313625</v>
      </c>
      <c r="V49" t="str">
        <f t="shared" si="22"/>
        <v>Center</v>
      </c>
      <c r="W49">
        <f>IF(AND(R49=1,S49&gt;=SC_LT,V49&lt;&gt;0,OR(IF(AND($G$4=$J$4,B49="X"),TRUE,FALSE),IF(AND($G$4=$J$3,A49="X",D49&lt;&gt;$O$4),TRUE,FALSE))),MAX($W$25:W48)+1,0)</f>
        <v>0</v>
      </c>
    </row>
    <row r="50" spans="1:23" x14ac:dyDescent="0.3">
      <c r="A50" s="10"/>
      <c r="B50" s="10" t="s">
        <v>116</v>
      </c>
      <c r="C50" s="39">
        <v>3296009022</v>
      </c>
      <c r="D50">
        <f t="shared" si="5"/>
        <v>50.8</v>
      </c>
      <c r="E50">
        <f t="shared" si="6"/>
        <v>6</v>
      </c>
      <c r="F50">
        <f t="shared" si="7"/>
        <v>902</v>
      </c>
      <c r="G50" s="67">
        <f t="shared" si="8"/>
        <v>149.33333333333334</v>
      </c>
      <c r="H50" s="67">
        <f t="shared" si="9"/>
        <v>141.33333333333334</v>
      </c>
      <c r="I50" s="68">
        <f t="shared" si="10"/>
        <v>461449.07586090924</v>
      </c>
      <c r="J50" s="68">
        <f t="shared" si="11"/>
        <v>33717.143154652455</v>
      </c>
      <c r="K50" s="68">
        <f t="shared" si="12"/>
        <v>3264.9698763743577</v>
      </c>
      <c r="L50" s="69">
        <f t="shared" si="13"/>
        <v>11.828971957441558</v>
      </c>
      <c r="M50" s="39">
        <v>2</v>
      </c>
      <c r="N50" s="30">
        <f t="shared" si="14"/>
        <v>1.7883060188395239</v>
      </c>
      <c r="O50" s="30">
        <f t="shared" si="15"/>
        <v>7.496517110893187</v>
      </c>
      <c r="P50" s="67">
        <f t="shared" si="16"/>
        <v>83.943947202021079</v>
      </c>
      <c r="Q50" s="67">
        <f t="shared" si="17"/>
        <v>92.692790451916366</v>
      </c>
      <c r="R50">
        <f t="shared" si="18"/>
        <v>0</v>
      </c>
      <c r="S50">
        <f t="shared" si="19"/>
        <v>68750</v>
      </c>
      <c r="T50" s="68">
        <f t="shared" si="20"/>
        <v>2267.9582053307186</v>
      </c>
      <c r="U50" s="68">
        <f t="shared" si="21"/>
        <v>132.04179466928144</v>
      </c>
      <c r="V50" t="str">
        <f t="shared" si="22"/>
        <v>No cut</v>
      </c>
      <c r="W50">
        <f>IF(AND(R50=1,S50&gt;=SC_LT,V50&lt;&gt;0,OR(IF(AND($G$4=$J$4,B50="X"),TRUE,FALSE),IF(AND($G$4=$J$3,A50="X",D50&lt;&gt;$O$4),TRUE,FALSE))),MAX($W$25:W49)+1,0)</f>
        <v>0</v>
      </c>
    </row>
    <row r="51" spans="1:23" x14ac:dyDescent="0.3">
      <c r="A51" s="10"/>
      <c r="B51" s="10" t="s">
        <v>116</v>
      </c>
      <c r="C51" s="39">
        <v>3296009662</v>
      </c>
      <c r="D51">
        <f t="shared" si="5"/>
        <v>50.8</v>
      </c>
      <c r="E51">
        <f t="shared" si="6"/>
        <v>6</v>
      </c>
      <c r="F51">
        <f t="shared" si="7"/>
        <v>966</v>
      </c>
      <c r="G51" s="67">
        <f t="shared" si="8"/>
        <v>160</v>
      </c>
      <c r="H51" s="67">
        <f t="shared" si="9"/>
        <v>152</v>
      </c>
      <c r="I51" s="68">
        <f t="shared" si="10"/>
        <v>461449.07586090924</v>
      </c>
      <c r="J51" s="68">
        <f t="shared" si="11"/>
        <v>33717.143154652455</v>
      </c>
      <c r="K51" s="68">
        <f t="shared" si="12"/>
        <v>3035.8491832954555</v>
      </c>
      <c r="L51" s="69">
        <f t="shared" si="13"/>
        <v>12.673898525830239</v>
      </c>
      <c r="M51" s="39">
        <v>2</v>
      </c>
      <c r="N51" s="30">
        <f t="shared" si="14"/>
        <v>1.9232725108274125</v>
      </c>
      <c r="O51" s="30">
        <f t="shared" si="15"/>
        <v>7.6314836028810751</v>
      </c>
      <c r="P51" s="67">
        <f t="shared" si="16"/>
        <v>79.271175825956419</v>
      </c>
      <c r="Q51" s="67">
        <f t="shared" si="17"/>
        <v>87.406065163578361</v>
      </c>
      <c r="R51">
        <f t="shared" si="18"/>
        <v>0</v>
      </c>
      <c r="S51">
        <f t="shared" si="19"/>
        <v>84375</v>
      </c>
      <c r="T51" s="68">
        <f t="shared" si="20"/>
        <v>2397.5778032345729</v>
      </c>
      <c r="U51" s="68">
        <f t="shared" si="21"/>
        <v>2.4221967654270884</v>
      </c>
      <c r="V51" t="str">
        <f t="shared" si="22"/>
        <v>No cut</v>
      </c>
      <c r="W51">
        <f>IF(AND(R51=1,S51&gt;=SC_LT,V51&lt;&gt;0,OR(IF(AND($G$4=$J$4,B51="X"),TRUE,FALSE),IF(AND($G$4=$J$3,A51="X",D51&lt;&gt;$O$4),TRUE,FALSE))),MAX($W$25:W50)+1,0)</f>
        <v>0</v>
      </c>
    </row>
    <row r="52" spans="1:23" x14ac:dyDescent="0.3">
      <c r="A52" s="10"/>
      <c r="B52" s="10" t="s">
        <v>116</v>
      </c>
      <c r="C52" s="39">
        <v>3296010302</v>
      </c>
      <c r="D52">
        <f t="shared" si="5"/>
        <v>50.8</v>
      </c>
      <c r="E52">
        <f t="shared" si="6"/>
        <v>6</v>
      </c>
      <c r="F52">
        <f t="shared" si="7"/>
        <v>1030</v>
      </c>
      <c r="G52" s="67">
        <f t="shared" si="8"/>
        <v>170.66666666666666</v>
      </c>
      <c r="H52" s="67">
        <f t="shared" si="9"/>
        <v>162.66666666666666</v>
      </c>
      <c r="I52" s="68">
        <f t="shared" si="10"/>
        <v>461449.07586090924</v>
      </c>
      <c r="J52" s="68">
        <f t="shared" si="11"/>
        <v>33717.143154652455</v>
      </c>
      <c r="K52" s="68">
        <f t="shared" si="12"/>
        <v>2836.777105702311</v>
      </c>
      <c r="L52" s="69">
        <f t="shared" si="13"/>
        <v>13.518825094218922</v>
      </c>
      <c r="M52" s="39">
        <v>2</v>
      </c>
      <c r="N52" s="30">
        <f t="shared" si="14"/>
        <v>2.0582390028153008</v>
      </c>
      <c r="O52" s="30">
        <f t="shared" si="15"/>
        <v>7.7664500948689632</v>
      </c>
      <c r="P52" s="67">
        <f t="shared" si="16"/>
        <v>75.211226925441224</v>
      </c>
      <c r="Q52" s="67">
        <f t="shared" si="17"/>
        <v>82.812680896661718</v>
      </c>
      <c r="R52">
        <f t="shared" si="18"/>
        <v>0</v>
      </c>
      <c r="S52">
        <f t="shared" si="19"/>
        <v>100000</v>
      </c>
      <c r="T52" s="68">
        <f t="shared" si="20"/>
        <v>2527.1974011384277</v>
      </c>
      <c r="U52" s="68">
        <f t="shared" si="21"/>
        <v>-127.19740113842772</v>
      </c>
      <c r="V52">
        <f t="shared" si="22"/>
        <v>0</v>
      </c>
      <c r="W52">
        <f>IF(AND(R52=1,S52&gt;=SC_LT,V52&lt;&gt;0,OR(IF(AND($G$4=$J$4,B52="X"),TRUE,FALSE),IF(AND($G$4=$J$3,A52="X",D52&lt;&gt;$O$4),TRUE,FALSE))),MAX($W$25:W51)+1,0)</f>
        <v>0</v>
      </c>
    </row>
    <row r="53" spans="1:23" x14ac:dyDescent="0.3">
      <c r="A53" s="10"/>
      <c r="B53" s="10" t="s">
        <v>116</v>
      </c>
      <c r="C53" s="39">
        <v>3296010942</v>
      </c>
      <c r="D53">
        <f t="shared" si="5"/>
        <v>50.8</v>
      </c>
      <c r="E53">
        <f t="shared" si="6"/>
        <v>6</v>
      </c>
      <c r="F53">
        <f t="shared" si="7"/>
        <v>1094</v>
      </c>
      <c r="G53" s="67">
        <f t="shared" si="8"/>
        <v>181.33333333333334</v>
      </c>
      <c r="H53" s="67">
        <f t="shared" si="9"/>
        <v>173.33333333333334</v>
      </c>
      <c r="I53" s="68">
        <f t="shared" si="10"/>
        <v>461449.07586090924</v>
      </c>
      <c r="J53" s="68">
        <f t="shared" si="11"/>
        <v>33717.143154652455</v>
      </c>
      <c r="K53" s="68">
        <f t="shared" si="12"/>
        <v>2662.2062068898608</v>
      </c>
      <c r="L53" s="69">
        <f t="shared" si="13"/>
        <v>14.363751662607607</v>
      </c>
      <c r="M53" s="39">
        <v>2</v>
      </c>
      <c r="N53" s="30">
        <f t="shared" si="14"/>
        <v>2.1932054948031898</v>
      </c>
      <c r="O53" s="30">
        <f t="shared" si="15"/>
        <v>7.9014165868568522</v>
      </c>
      <c r="P53" s="67">
        <f t="shared" si="16"/>
        <v>71.650964043450969</v>
      </c>
      <c r="Q53" s="67">
        <f t="shared" si="17"/>
        <v>78.784636231827122</v>
      </c>
      <c r="R53">
        <f t="shared" si="18"/>
        <v>0</v>
      </c>
      <c r="S53">
        <f t="shared" si="19"/>
        <v>157143</v>
      </c>
      <c r="T53" s="68">
        <f t="shared" si="20"/>
        <v>2656.8169990422821</v>
      </c>
      <c r="U53" s="68">
        <f t="shared" si="21"/>
        <v>-256.81699904228208</v>
      </c>
      <c r="V53">
        <f t="shared" si="22"/>
        <v>0</v>
      </c>
      <c r="W53">
        <f>IF(AND(R53=1,S53&gt;=SC_LT,V53&lt;&gt;0,OR(IF(AND($G$4=$J$4,B53="X"),TRUE,FALSE),IF(AND($G$4=$J$3,A53="X",D53&lt;&gt;$O$4),TRUE,FALSE))),MAX($W$25:W52)+1,0)</f>
        <v>0</v>
      </c>
    </row>
    <row r="54" spans="1:23" x14ac:dyDescent="0.3">
      <c r="A54" s="10"/>
      <c r="B54" s="10" t="s">
        <v>116</v>
      </c>
      <c r="C54" s="74">
        <v>3396008112</v>
      </c>
      <c r="D54">
        <f t="shared" si="5"/>
        <v>66.674999999999997</v>
      </c>
      <c r="E54">
        <f t="shared" si="6"/>
        <v>6</v>
      </c>
      <c r="F54">
        <f t="shared" si="7"/>
        <v>811</v>
      </c>
      <c r="G54" s="67">
        <f t="shared" si="8"/>
        <v>134.16666666666666</v>
      </c>
      <c r="H54" s="67">
        <f t="shared" si="9"/>
        <v>127.16666666666666</v>
      </c>
      <c r="I54" s="68">
        <f t="shared" si="10"/>
        <v>360650.94611489022</v>
      </c>
      <c r="J54" s="68">
        <f t="shared" si="11"/>
        <v>33717.143154652455</v>
      </c>
      <c r="K54" s="68">
        <f t="shared" si="12"/>
        <v>2836.0493796714827</v>
      </c>
      <c r="L54" s="69">
        <f t="shared" si="13"/>
        <v>13.597891691765584</v>
      </c>
      <c r="M54" s="39">
        <v>2</v>
      </c>
      <c r="N54" s="30">
        <f t="shared" si="14"/>
        <v>2.0587671438662825</v>
      </c>
      <c r="O54" s="30">
        <f t="shared" si="15"/>
        <v>7.7669782359199449</v>
      </c>
      <c r="P54" s="67">
        <f t="shared" si="16"/>
        <v>75.196385414092873</v>
      </c>
      <c r="Q54" s="67">
        <f t="shared" si="17"/>
        <v>82.795889363961351</v>
      </c>
      <c r="R54">
        <f t="shared" si="18"/>
        <v>0</v>
      </c>
      <c r="S54">
        <f t="shared" si="19"/>
        <v>100000</v>
      </c>
      <c r="T54" s="68">
        <f t="shared" si="20"/>
        <v>2089.2037388310391</v>
      </c>
      <c r="U54" s="68">
        <f t="shared" si="21"/>
        <v>310.79626116896088</v>
      </c>
      <c r="V54" t="str">
        <f t="shared" si="22"/>
        <v>Center</v>
      </c>
      <c r="W54">
        <f>IF(AND(R54=1,S54&gt;=SC_LT,V54&lt;&gt;0,OR(IF(AND($G$4=$J$4,B54="X"),TRUE,FALSE),IF(AND($G$4=$J$3,A54="X",D54&lt;&gt;$O$4),TRUE,FALSE))),MAX($W$25:W53)+1,0)</f>
        <v>0</v>
      </c>
    </row>
    <row r="55" spans="1:23" x14ac:dyDescent="0.3">
      <c r="A55" s="10"/>
      <c r="B55" s="10" t="s">
        <v>116</v>
      </c>
      <c r="C55" s="74">
        <v>3396008612</v>
      </c>
      <c r="D55">
        <f t="shared" si="5"/>
        <v>66.674999999999997</v>
      </c>
      <c r="E55">
        <f t="shared" si="6"/>
        <v>6</v>
      </c>
      <c r="F55">
        <f t="shared" si="7"/>
        <v>861</v>
      </c>
      <c r="G55" s="67">
        <f t="shared" si="8"/>
        <v>142.5</v>
      </c>
      <c r="H55" s="67">
        <f t="shared" si="9"/>
        <v>135.5</v>
      </c>
      <c r="I55" s="68">
        <f t="shared" si="10"/>
        <v>360650.94611489022</v>
      </c>
      <c r="J55" s="68">
        <f t="shared" si="11"/>
        <v>33717.143154652455</v>
      </c>
      <c r="K55" s="68">
        <f t="shared" si="12"/>
        <v>2661.6305986338762</v>
      </c>
      <c r="L55" s="69">
        <f t="shared" si="13"/>
        <v>14.442481237837983</v>
      </c>
      <c r="M55" s="39">
        <v>2</v>
      </c>
      <c r="N55" s="30">
        <f t="shared" si="14"/>
        <v>2.1936798007382534</v>
      </c>
      <c r="O55" s="30">
        <f t="shared" si="15"/>
        <v>7.9018908927919167</v>
      </c>
      <c r="P55" s="67">
        <f t="shared" si="16"/>
        <v>71.639224877746443</v>
      </c>
      <c r="Q55" s="67">
        <f t="shared" si="17"/>
        <v>78.771354660956334</v>
      </c>
      <c r="R55">
        <f t="shared" si="18"/>
        <v>0</v>
      </c>
      <c r="S55">
        <f t="shared" si="19"/>
        <v>157143</v>
      </c>
      <c r="T55" s="68">
        <f t="shared" si="20"/>
        <v>2190.8226907135031</v>
      </c>
      <c r="U55" s="68">
        <f t="shared" si="21"/>
        <v>209.17730928649689</v>
      </c>
      <c r="V55" t="str">
        <f t="shared" si="22"/>
        <v>Center</v>
      </c>
      <c r="W55">
        <f>IF(AND(R55=1,S55&gt;=SC_LT,V55&lt;&gt;0,OR(IF(AND($G$4=$J$4,B55="X"),TRUE,FALSE),IF(AND($G$4=$J$3,A55="X",D55&lt;&gt;$O$4),TRUE,FALSE))),MAX($W$25:W54)+1,0)</f>
        <v>0</v>
      </c>
    </row>
    <row r="56" spans="1:23" x14ac:dyDescent="0.3">
      <c r="A56" s="10"/>
      <c r="B56" s="10" t="s">
        <v>116</v>
      </c>
      <c r="C56" s="74">
        <v>3396009112</v>
      </c>
      <c r="D56">
        <f t="shared" si="5"/>
        <v>66.674999999999997</v>
      </c>
      <c r="E56">
        <f t="shared" si="6"/>
        <v>6</v>
      </c>
      <c r="F56">
        <f t="shared" si="7"/>
        <v>911</v>
      </c>
      <c r="G56" s="67">
        <f t="shared" si="8"/>
        <v>150.83333333333334</v>
      </c>
      <c r="H56" s="67">
        <f t="shared" si="9"/>
        <v>143.83333333333334</v>
      </c>
      <c r="I56" s="68">
        <f t="shared" si="10"/>
        <v>360650.94611489022</v>
      </c>
      <c r="J56" s="68">
        <f t="shared" si="11"/>
        <v>33717.143154652455</v>
      </c>
      <c r="K56" s="68">
        <f t="shared" si="12"/>
        <v>2507.4225685855636</v>
      </c>
      <c r="L56" s="69">
        <f t="shared" si="13"/>
        <v>15.28707078391038</v>
      </c>
      <c r="M56" s="39">
        <v>2</v>
      </c>
      <c r="N56" s="30">
        <f t="shared" si="14"/>
        <v>2.3285924576102248</v>
      </c>
      <c r="O56" s="30">
        <f t="shared" si="15"/>
        <v>8.0368035496638868</v>
      </c>
      <c r="P56" s="67">
        <f t="shared" si="16"/>
        <v>68.494249803317288</v>
      </c>
      <c r="Q56" s="67">
        <f t="shared" si="17"/>
        <v>75.213162333734047</v>
      </c>
      <c r="R56">
        <f t="shared" si="18"/>
        <v>0</v>
      </c>
      <c r="S56">
        <f t="shared" si="19"/>
        <v>185714</v>
      </c>
      <c r="T56" s="68">
        <f t="shared" si="20"/>
        <v>2292.4416425959666</v>
      </c>
      <c r="U56" s="68">
        <f t="shared" si="21"/>
        <v>107.55835740403336</v>
      </c>
      <c r="V56" t="str">
        <f t="shared" si="22"/>
        <v>No cut</v>
      </c>
      <c r="W56">
        <f>IF(AND(R56=1,S56&gt;=SC_LT,V56&lt;&gt;0,OR(IF(AND($G$4=$J$4,B56="X"),TRUE,FALSE),IF(AND($G$4=$J$3,A56="X",D56&lt;&gt;$O$4),TRUE,FALSE))),MAX($W$25:W55)+1,0)</f>
        <v>0</v>
      </c>
    </row>
    <row r="57" spans="1:23" x14ac:dyDescent="0.3">
      <c r="A57" s="10"/>
      <c r="B57" s="10" t="s">
        <v>116</v>
      </c>
      <c r="C57" s="74">
        <v>3396009612</v>
      </c>
      <c r="D57">
        <f t="shared" si="5"/>
        <v>66.674999999999997</v>
      </c>
      <c r="E57">
        <f t="shared" si="6"/>
        <v>6</v>
      </c>
      <c r="F57">
        <f t="shared" si="7"/>
        <v>961</v>
      </c>
      <c r="G57" s="67">
        <f t="shared" si="8"/>
        <v>159.16666666666666</v>
      </c>
      <c r="H57" s="67">
        <f t="shared" si="9"/>
        <v>152.16666666666666</v>
      </c>
      <c r="I57" s="68">
        <f t="shared" si="10"/>
        <v>360650.94611489022</v>
      </c>
      <c r="J57" s="68">
        <f t="shared" si="11"/>
        <v>33717.143154652455</v>
      </c>
      <c r="K57" s="68">
        <f t="shared" si="12"/>
        <v>2370.1047937451713</v>
      </c>
      <c r="L57" s="69">
        <f t="shared" si="13"/>
        <v>16.131660329982775</v>
      </c>
      <c r="M57" s="39">
        <v>2</v>
      </c>
      <c r="N57" s="30">
        <f t="shared" si="14"/>
        <v>2.4635051144821962</v>
      </c>
      <c r="O57" s="30">
        <f t="shared" si="15"/>
        <v>8.1717162065358586</v>
      </c>
      <c r="P57" s="67">
        <f t="shared" si="16"/>
        <v>65.693740783042514</v>
      </c>
      <c r="Q57" s="67">
        <f t="shared" si="17"/>
        <v>72.044695343556924</v>
      </c>
      <c r="R57">
        <f t="shared" si="18"/>
        <v>0</v>
      </c>
      <c r="S57">
        <f t="shared" si="19"/>
        <v>237500</v>
      </c>
      <c r="T57" s="68">
        <f t="shared" si="20"/>
        <v>2394.0605944784302</v>
      </c>
      <c r="U57" s="68">
        <f t="shared" si="21"/>
        <v>5.9394055215698245</v>
      </c>
      <c r="V57" t="str">
        <f t="shared" si="22"/>
        <v>No cut</v>
      </c>
      <c r="W57">
        <f>IF(AND(R57=1,S57&gt;=SC_LT,V57&lt;&gt;0,OR(IF(AND($G$4=$J$4,B57="X"),TRUE,FALSE),IF(AND($G$4=$J$3,A57="X",D57&lt;&gt;$O$4),TRUE,FALSE))),MAX($W$25:W56)+1,0)</f>
        <v>0</v>
      </c>
    </row>
    <row r="58" spans="1:23" x14ac:dyDescent="0.3">
      <c r="A58" s="10"/>
      <c r="B58" s="10" t="s">
        <v>116</v>
      </c>
      <c r="C58" s="39">
        <v>3296507632</v>
      </c>
      <c r="D58">
        <f t="shared" si="5"/>
        <v>50.8</v>
      </c>
      <c r="E58">
        <f t="shared" si="6"/>
        <v>6.5</v>
      </c>
      <c r="F58">
        <f t="shared" si="7"/>
        <v>763</v>
      </c>
      <c r="G58" s="67">
        <f t="shared" si="8"/>
        <v>116.38461538461539</v>
      </c>
      <c r="H58" s="67">
        <f t="shared" si="9"/>
        <v>108.38461538461539</v>
      </c>
      <c r="I58" s="68">
        <f t="shared" si="10"/>
        <v>630036.80336873792</v>
      </c>
      <c r="J58" s="68">
        <f t="shared" si="11"/>
        <v>42059.544271489729</v>
      </c>
      <c r="K58" s="68">
        <f t="shared" si="12"/>
        <v>5812.9726357655027</v>
      </c>
      <c r="L58" s="69">
        <f t="shared" si="13"/>
        <v>10.914813451339221</v>
      </c>
      <c r="M58" s="39">
        <v>2</v>
      </c>
      <c r="N58" s="30">
        <f t="shared" si="14"/>
        <v>1.0044370835888341</v>
      </c>
      <c r="O58" s="30">
        <f t="shared" si="15"/>
        <v>6.7126481756424967</v>
      </c>
      <c r="P58" s="67">
        <f t="shared" si="16"/>
        <v>135.90884919416266</v>
      </c>
      <c r="Q58" s="67">
        <f t="shared" si="17"/>
        <v>151.48534402624296</v>
      </c>
      <c r="R58">
        <f t="shared" si="18"/>
        <v>0</v>
      </c>
      <c r="S58">
        <f t="shared" si="19"/>
        <v>17500</v>
      </c>
      <c r="T58" s="68">
        <f t="shared" si="20"/>
        <v>1987.2644262833523</v>
      </c>
      <c r="U58" s="68">
        <f t="shared" si="21"/>
        <v>412.73557371664765</v>
      </c>
      <c r="V58" t="str">
        <f t="shared" si="22"/>
        <v>Center</v>
      </c>
      <c r="W58">
        <f>IF(AND(R58=1,S58&gt;=SC_LT,V58&lt;&gt;0,OR(IF(AND($G$4=$J$4,B58="X"),TRUE,FALSE),IF(AND($G$4=$J$3,A58="X",D58&lt;&gt;$O$4),TRUE,FALSE))),MAX($W$25:W57)+1,0)</f>
        <v>0</v>
      </c>
    </row>
    <row r="59" spans="1:23" x14ac:dyDescent="0.3">
      <c r="A59" s="10"/>
      <c r="B59" s="10" t="s">
        <v>116</v>
      </c>
      <c r="C59" s="39">
        <v>3296508382</v>
      </c>
      <c r="D59">
        <f t="shared" si="5"/>
        <v>50.8</v>
      </c>
      <c r="E59">
        <f t="shared" si="6"/>
        <v>6.5</v>
      </c>
      <c r="F59">
        <f t="shared" si="7"/>
        <v>838</v>
      </c>
      <c r="G59" s="67">
        <f t="shared" si="8"/>
        <v>127.92307692307693</v>
      </c>
      <c r="H59" s="67">
        <f t="shared" si="9"/>
        <v>119.92307692307693</v>
      </c>
      <c r="I59" s="68">
        <f t="shared" si="10"/>
        <v>630036.80336873792</v>
      </c>
      <c r="J59" s="68">
        <f t="shared" si="11"/>
        <v>42059.544271489729</v>
      </c>
      <c r="K59" s="68">
        <f t="shared" si="12"/>
        <v>5253.674434761765</v>
      </c>
      <c r="L59" s="69">
        <f t="shared" si="13"/>
        <v>11.996916569449523</v>
      </c>
      <c r="M59" s="39">
        <v>2</v>
      </c>
      <c r="N59" s="30">
        <f t="shared" si="14"/>
        <v>1.11136792996096</v>
      </c>
      <c r="O59" s="30">
        <f t="shared" si="15"/>
        <v>6.8195790220146231</v>
      </c>
      <c r="P59" s="67">
        <f t="shared" si="16"/>
        <v>124.50231672773582</v>
      </c>
      <c r="Q59" s="67">
        <f t="shared" si="17"/>
        <v>138.58011096660761</v>
      </c>
      <c r="R59">
        <f t="shared" si="18"/>
        <v>1</v>
      </c>
      <c r="S59">
        <f t="shared" si="19"/>
        <v>26667</v>
      </c>
      <c r="T59" s="68">
        <f t="shared" si="20"/>
        <v>2138.6545272861904</v>
      </c>
      <c r="U59" s="68">
        <f t="shared" si="21"/>
        <v>261.34547271380961</v>
      </c>
      <c r="V59" t="str">
        <f t="shared" si="22"/>
        <v>Center</v>
      </c>
      <c r="W59">
        <f>IF(AND(R59=1,S59&gt;=SC_LT,V59&lt;&gt;0,OR(IF(AND($G$4=$J$4,B59="X"),TRUE,FALSE),IF(AND($G$4=$J$3,A59="X",D59&lt;&gt;$O$4),TRUE,FALSE))),MAX($W$25:W58)+1,0)</f>
        <v>1</v>
      </c>
    </row>
    <row r="60" spans="1:23" x14ac:dyDescent="0.3">
      <c r="A60" s="10"/>
      <c r="B60" s="10" t="s">
        <v>116</v>
      </c>
      <c r="C60" s="39">
        <v>3296509132</v>
      </c>
      <c r="D60">
        <f t="shared" si="5"/>
        <v>50.8</v>
      </c>
      <c r="E60">
        <f t="shared" si="6"/>
        <v>6.5</v>
      </c>
      <c r="F60">
        <f t="shared" si="7"/>
        <v>913</v>
      </c>
      <c r="G60" s="67">
        <f t="shared" si="8"/>
        <v>139.46153846153845</v>
      </c>
      <c r="H60" s="67">
        <f t="shared" si="9"/>
        <v>131.46153846153845</v>
      </c>
      <c r="I60" s="68">
        <f t="shared" si="10"/>
        <v>630036.80336873792</v>
      </c>
      <c r="J60" s="68">
        <f t="shared" si="11"/>
        <v>42059.544271489729</v>
      </c>
      <c r="K60" s="68">
        <f t="shared" si="12"/>
        <v>4792.5561403122256</v>
      </c>
      <c r="L60" s="69">
        <f t="shared" si="13"/>
        <v>13.079019687559821</v>
      </c>
      <c r="M60" s="39">
        <v>2</v>
      </c>
      <c r="N60" s="30">
        <f t="shared" si="14"/>
        <v>1.2182987763330855</v>
      </c>
      <c r="O60" s="30">
        <f t="shared" si="15"/>
        <v>6.9265098683867485</v>
      </c>
      <c r="P60" s="67">
        <f t="shared" si="16"/>
        <v>115.0981012536601</v>
      </c>
      <c r="Q60" s="67">
        <f t="shared" si="17"/>
        <v>127.94027867811953</v>
      </c>
      <c r="R60">
        <f t="shared" si="18"/>
        <v>1</v>
      </c>
      <c r="S60">
        <f t="shared" si="19"/>
        <v>38250</v>
      </c>
      <c r="T60" s="68">
        <f t="shared" si="20"/>
        <v>2290.044628289028</v>
      </c>
      <c r="U60" s="68">
        <f t="shared" si="21"/>
        <v>109.95537171097203</v>
      </c>
      <c r="V60" t="str">
        <f t="shared" si="22"/>
        <v>No cut</v>
      </c>
      <c r="W60">
        <f>IF(AND(R60=1,S60&gt;=SC_LT,V60&lt;&gt;0,OR(IF(AND($G$4=$J$4,B60="X"),TRUE,FALSE),IF(AND($G$4=$J$3,A60="X",D60&lt;&gt;$O$4),TRUE,FALSE))),MAX($W$25:W59)+1,0)</f>
        <v>2</v>
      </c>
    </row>
    <row r="61" spans="1:23" x14ac:dyDescent="0.3">
      <c r="A61" s="10"/>
      <c r="B61" s="10" t="s">
        <v>116</v>
      </c>
      <c r="C61" s="39">
        <v>3296509892</v>
      </c>
      <c r="D61">
        <f t="shared" si="5"/>
        <v>50.8</v>
      </c>
      <c r="E61">
        <f t="shared" si="6"/>
        <v>6.5</v>
      </c>
      <c r="F61">
        <f t="shared" si="7"/>
        <v>989</v>
      </c>
      <c r="G61" s="67">
        <f t="shared" si="8"/>
        <v>151.15384615384616</v>
      </c>
      <c r="H61" s="67">
        <f t="shared" si="9"/>
        <v>143.15384615384616</v>
      </c>
      <c r="I61" s="68">
        <f t="shared" si="10"/>
        <v>630036.80336873792</v>
      </c>
      <c r="J61" s="68">
        <f t="shared" si="11"/>
        <v>42059.544271489729</v>
      </c>
      <c r="K61" s="68">
        <f t="shared" si="12"/>
        <v>4401.1168424468524</v>
      </c>
      <c r="L61" s="69">
        <f t="shared" si="13"/>
        <v>14.175550847244924</v>
      </c>
      <c r="M61" s="39">
        <v>2</v>
      </c>
      <c r="N61" s="30">
        <f t="shared" si="14"/>
        <v>1.3266553673235064</v>
      </c>
      <c r="O61" s="30">
        <f t="shared" si="15"/>
        <v>7.0348664593771693</v>
      </c>
      <c r="P61" s="67">
        <f t="shared" si="16"/>
        <v>107.1149447698314</v>
      </c>
      <c r="Q61" s="67">
        <f t="shared" si="17"/>
        <v>118.90821785870897</v>
      </c>
      <c r="R61">
        <f t="shared" si="18"/>
        <v>0</v>
      </c>
      <c r="S61">
        <f t="shared" si="19"/>
        <v>56250</v>
      </c>
      <c r="T61" s="68">
        <f t="shared" si="20"/>
        <v>2443.4532639719032</v>
      </c>
      <c r="U61" s="68">
        <f t="shared" si="21"/>
        <v>-43.453263971903198</v>
      </c>
      <c r="V61">
        <f t="shared" si="22"/>
        <v>0</v>
      </c>
      <c r="W61">
        <f>IF(AND(R61=1,S61&gt;=SC_LT,V61&lt;&gt;0,OR(IF(AND($G$4=$J$4,B61="X"),TRUE,FALSE),IF(AND($G$4=$J$3,A61="X",D61&lt;&gt;$O$4),TRUE,FALSE))),MAX($W$25:W60)+1,0)</f>
        <v>0</v>
      </c>
    </row>
    <row r="62" spans="1:23" x14ac:dyDescent="0.3">
      <c r="A62" s="10"/>
      <c r="B62" s="10" t="s">
        <v>116</v>
      </c>
      <c r="C62" s="39">
        <v>3296510642</v>
      </c>
      <c r="D62">
        <f t="shared" si="5"/>
        <v>50.8</v>
      </c>
      <c r="E62">
        <f t="shared" si="6"/>
        <v>6.5</v>
      </c>
      <c r="F62">
        <f t="shared" si="7"/>
        <v>1064</v>
      </c>
      <c r="G62" s="67">
        <f t="shared" si="8"/>
        <v>162.69230769230768</v>
      </c>
      <c r="H62" s="67">
        <f t="shared" si="9"/>
        <v>154.69230769230768</v>
      </c>
      <c r="I62" s="68">
        <f t="shared" si="10"/>
        <v>630036.80336873792</v>
      </c>
      <c r="J62" s="68">
        <f t="shared" si="11"/>
        <v>42059.544271489729</v>
      </c>
      <c r="K62" s="68">
        <f t="shared" si="12"/>
        <v>4072.8386095443034</v>
      </c>
      <c r="L62" s="69">
        <f t="shared" si="13"/>
        <v>15.257653965355221</v>
      </c>
      <c r="M62" s="39">
        <v>2</v>
      </c>
      <c r="N62" s="30">
        <f t="shared" si="14"/>
        <v>1.4335862136956319</v>
      </c>
      <c r="O62" s="30">
        <f t="shared" si="15"/>
        <v>7.1417973057492947</v>
      </c>
      <c r="P62" s="67">
        <f t="shared" si="16"/>
        <v>100.41991819026416</v>
      </c>
      <c r="Q62" s="67">
        <f t="shared" si="17"/>
        <v>111.33353391298974</v>
      </c>
      <c r="R62">
        <f t="shared" si="18"/>
        <v>0</v>
      </c>
      <c r="S62">
        <f t="shared" si="19"/>
        <v>75000</v>
      </c>
      <c r="T62" s="68">
        <f t="shared" si="20"/>
        <v>2594.8433649747408</v>
      </c>
      <c r="U62" s="68">
        <f t="shared" si="21"/>
        <v>-194.84336497474078</v>
      </c>
      <c r="V62">
        <f t="shared" si="22"/>
        <v>0</v>
      </c>
      <c r="W62">
        <f>IF(AND(R62=1,S62&gt;=SC_LT,V62&lt;&gt;0,OR(IF(AND($G$4=$J$4,B62="X"),TRUE,FALSE),IF(AND($G$4=$J$3,A62="X",D62&lt;&gt;$O$4),TRUE,FALSE))),MAX($W$25:W61)+1,0)</f>
        <v>0</v>
      </c>
    </row>
    <row r="63" spans="1:23" x14ac:dyDescent="0.3">
      <c r="A63" s="10"/>
      <c r="B63" s="10" t="s">
        <v>116</v>
      </c>
      <c r="C63" s="39">
        <v>3296511402</v>
      </c>
      <c r="D63">
        <f t="shared" si="5"/>
        <v>50.8</v>
      </c>
      <c r="E63">
        <f t="shared" si="6"/>
        <v>6.5</v>
      </c>
      <c r="F63">
        <f t="shared" si="7"/>
        <v>1140</v>
      </c>
      <c r="G63" s="67">
        <f t="shared" si="8"/>
        <v>174.38461538461539</v>
      </c>
      <c r="H63" s="67">
        <f t="shared" si="9"/>
        <v>166.38461538461539</v>
      </c>
      <c r="I63" s="68">
        <f t="shared" si="10"/>
        <v>630036.80336873792</v>
      </c>
      <c r="J63" s="68">
        <f t="shared" si="11"/>
        <v>42059.544271489729</v>
      </c>
      <c r="K63" s="68">
        <f t="shared" si="12"/>
        <v>3786.6289615319429</v>
      </c>
      <c r="L63" s="69">
        <f t="shared" si="13"/>
        <v>16.354185125040328</v>
      </c>
      <c r="M63" s="39">
        <v>2</v>
      </c>
      <c r="N63" s="30">
        <f t="shared" si="14"/>
        <v>1.5419428046860528</v>
      </c>
      <c r="O63" s="30">
        <f t="shared" si="15"/>
        <v>7.2501538967397154</v>
      </c>
      <c r="P63" s="67">
        <f t="shared" si="16"/>
        <v>94.582853747005231</v>
      </c>
      <c r="Q63" s="67">
        <f t="shared" si="17"/>
        <v>104.72953946979815</v>
      </c>
      <c r="R63">
        <f t="shared" si="18"/>
        <v>0</v>
      </c>
      <c r="S63">
        <f t="shared" si="19"/>
        <v>87500</v>
      </c>
      <c r="T63" s="68">
        <f t="shared" si="20"/>
        <v>2748.2520006576165</v>
      </c>
      <c r="U63" s="68">
        <f t="shared" si="21"/>
        <v>-348.25200065761646</v>
      </c>
      <c r="V63">
        <f t="shared" si="22"/>
        <v>0</v>
      </c>
      <c r="W63">
        <f>IF(AND(R63=1,S63&gt;=SC_LT,V63&lt;&gt;0,OR(IF(AND($G$4=$J$4,B63="X"),TRUE,FALSE),IF(AND($G$4=$J$3,A63="X",D63&lt;&gt;$O$4),TRUE,FALSE))),MAX($W$25:W62)+1,0)</f>
        <v>0</v>
      </c>
    </row>
    <row r="64" spans="1:23" x14ac:dyDescent="0.3">
      <c r="A64" s="10"/>
      <c r="B64" s="10" t="s">
        <v>116</v>
      </c>
      <c r="C64" s="39">
        <v>3296512162</v>
      </c>
      <c r="D64">
        <f t="shared" si="5"/>
        <v>50.8</v>
      </c>
      <c r="E64">
        <f t="shared" si="6"/>
        <v>6.5</v>
      </c>
      <c r="F64">
        <f t="shared" si="7"/>
        <v>1216</v>
      </c>
      <c r="G64" s="67">
        <f t="shared" si="8"/>
        <v>186.07692307692307</v>
      </c>
      <c r="H64" s="67">
        <f t="shared" si="9"/>
        <v>178.07692307692307</v>
      </c>
      <c r="I64" s="68">
        <f t="shared" si="10"/>
        <v>630036.80336873792</v>
      </c>
      <c r="J64" s="68">
        <f t="shared" si="11"/>
        <v>42059.544271489729</v>
      </c>
      <c r="K64" s="68">
        <f t="shared" si="12"/>
        <v>3538.0036474270382</v>
      </c>
      <c r="L64" s="69">
        <f t="shared" si="13"/>
        <v>17.450716284725431</v>
      </c>
      <c r="M64" s="39">
        <v>2</v>
      </c>
      <c r="N64" s="30">
        <f t="shared" si="14"/>
        <v>1.6502993956764735</v>
      </c>
      <c r="O64" s="30">
        <f t="shared" si="15"/>
        <v>7.3585104877301362</v>
      </c>
      <c r="P64" s="67">
        <f t="shared" si="16"/>
        <v>89.512297982256371</v>
      </c>
      <c r="Q64" s="67">
        <f t="shared" si="17"/>
        <v>98.992765031241746</v>
      </c>
      <c r="R64">
        <f t="shared" si="18"/>
        <v>0</v>
      </c>
      <c r="S64">
        <f t="shared" si="19"/>
        <v>100000</v>
      </c>
      <c r="T64" s="68">
        <f t="shared" si="20"/>
        <v>2901.6606363404917</v>
      </c>
      <c r="U64" s="68">
        <f t="shared" si="21"/>
        <v>-501.66063634049169</v>
      </c>
      <c r="V64">
        <f t="shared" si="22"/>
        <v>0</v>
      </c>
      <c r="W64">
        <f>IF(AND(R64=1,S64&gt;=SC_LT,V64&lt;&gt;0,OR(IF(AND($G$4=$J$4,B64="X"),TRUE,FALSE),IF(AND($G$4=$J$3,A64="X",D64&lt;&gt;$O$4),TRUE,FALSE))),MAX($W$25:W63)+1,0)</f>
        <v>0</v>
      </c>
    </row>
    <row r="65" spans="1:23" x14ac:dyDescent="0.3">
      <c r="A65" s="10"/>
      <c r="B65" s="10" t="s">
        <v>116</v>
      </c>
      <c r="C65" s="74">
        <v>3396510182</v>
      </c>
      <c r="D65">
        <f t="shared" si="5"/>
        <v>66.674999999999997</v>
      </c>
      <c r="E65">
        <f t="shared" si="6"/>
        <v>6.5</v>
      </c>
      <c r="F65">
        <f t="shared" si="7"/>
        <v>1018</v>
      </c>
      <c r="G65" s="67">
        <f t="shared" si="8"/>
        <v>155.61538461538461</v>
      </c>
      <c r="H65" s="67">
        <f t="shared" si="9"/>
        <v>148.61538461538461</v>
      </c>
      <c r="I65" s="68">
        <f t="shared" si="10"/>
        <v>493353.04179062089</v>
      </c>
      <c r="J65" s="68">
        <f t="shared" si="11"/>
        <v>42059.544271489729</v>
      </c>
      <c r="K65" s="68">
        <f t="shared" si="12"/>
        <v>3319.6633246780907</v>
      </c>
      <c r="L65" s="69">
        <f t="shared" si="13"/>
        <v>18.637230708062816</v>
      </c>
      <c r="M65" s="39">
        <v>2</v>
      </c>
      <c r="N65" s="30">
        <f t="shared" si="14"/>
        <v>1.7588426024546293</v>
      </c>
      <c r="O65" s="30">
        <f t="shared" si="15"/>
        <v>7.4670536945082926</v>
      </c>
      <c r="P65" s="67">
        <f t="shared" si="16"/>
        <v>85.059385429173901</v>
      </c>
      <c r="Q65" s="67">
        <f t="shared" si="17"/>
        <v>93.954785745175101</v>
      </c>
      <c r="R65">
        <f t="shared" si="18"/>
        <v>0</v>
      </c>
      <c r="S65">
        <f t="shared" si="19"/>
        <v>157143</v>
      </c>
      <c r="T65" s="68">
        <f t="shared" si="20"/>
        <v>2507.0716980286079</v>
      </c>
      <c r="U65" s="68">
        <f t="shared" si="21"/>
        <v>-107.0716980286079</v>
      </c>
      <c r="V65">
        <f t="shared" si="22"/>
        <v>0</v>
      </c>
      <c r="W65">
        <f>IF(AND(R65=1,S65&gt;=SC_LT,V65&lt;&gt;0,OR(IF(AND($G$4=$J$4,B65="X"),TRUE,FALSE),IF(AND($G$4=$J$3,A65="X",D65&lt;&gt;$O$4),TRUE,FALSE))),MAX($W$25:W64)+1,0)</f>
        <v>0</v>
      </c>
    </row>
    <row r="66" spans="1:23" x14ac:dyDescent="0.3">
      <c r="A66" s="10"/>
      <c r="B66" s="10" t="s">
        <v>116</v>
      </c>
      <c r="C66" s="74">
        <v>3396510772</v>
      </c>
      <c r="D66">
        <f t="shared" si="5"/>
        <v>66.674999999999997</v>
      </c>
      <c r="E66">
        <f t="shared" si="6"/>
        <v>6.5</v>
      </c>
      <c r="F66">
        <f t="shared" si="7"/>
        <v>1077</v>
      </c>
      <c r="G66" s="67">
        <f t="shared" si="8"/>
        <v>164.69230769230768</v>
      </c>
      <c r="H66" s="67">
        <f t="shared" si="9"/>
        <v>157.69230769230768</v>
      </c>
      <c r="I66" s="68">
        <f t="shared" si="10"/>
        <v>493353.04179062089</v>
      </c>
      <c r="J66" s="68">
        <f t="shared" si="11"/>
        <v>42059.544271489729</v>
      </c>
      <c r="K66" s="68">
        <f t="shared" si="12"/>
        <v>3128.5802650136939</v>
      </c>
      <c r="L66" s="69">
        <f t="shared" si="13"/>
        <v>19.724325727119375</v>
      </c>
      <c r="M66" s="39">
        <v>2</v>
      </c>
      <c r="N66" s="30">
        <f t="shared" si="14"/>
        <v>1.8662667365590007</v>
      </c>
      <c r="O66" s="30">
        <f t="shared" si="15"/>
        <v>7.5744778286126637</v>
      </c>
      <c r="P66" s="67">
        <f t="shared" si="16"/>
        <v>81.16236748787793</v>
      </c>
      <c r="Q66" s="67">
        <f t="shared" si="17"/>
        <v>89.545739883250775</v>
      </c>
      <c r="R66">
        <f t="shared" si="18"/>
        <v>0</v>
      </c>
      <c r="S66">
        <f t="shared" si="19"/>
        <v>212500</v>
      </c>
      <c r="T66" s="68">
        <f t="shared" si="20"/>
        <v>2626.4682117719644</v>
      </c>
      <c r="U66" s="68">
        <f t="shared" si="21"/>
        <v>-226.46821177196443</v>
      </c>
      <c r="V66">
        <f t="shared" si="22"/>
        <v>0</v>
      </c>
      <c r="W66">
        <f>IF(AND(R66=1,S66&gt;=SC_LT,V66&lt;&gt;0,OR(IF(AND($G$4=$J$4,B66="X"),TRUE,FALSE),IF(AND($G$4=$J$3,A66="X",D66&lt;&gt;$O$4),TRUE,FALSE))),MAX($W$25:W65)+1,0)</f>
        <v>0</v>
      </c>
    </row>
    <row r="67" spans="1:23" x14ac:dyDescent="0.3">
      <c r="A67" s="10"/>
      <c r="B67" s="10" t="s">
        <v>116</v>
      </c>
      <c r="C67" s="74">
        <v>3396511372</v>
      </c>
      <c r="D67">
        <f t="shared" si="5"/>
        <v>66.674999999999997</v>
      </c>
      <c r="E67">
        <f t="shared" si="6"/>
        <v>6.5</v>
      </c>
      <c r="F67">
        <f t="shared" si="7"/>
        <v>1137</v>
      </c>
      <c r="G67" s="67">
        <f t="shared" si="8"/>
        <v>173.92307692307693</v>
      </c>
      <c r="H67" s="67">
        <f t="shared" si="9"/>
        <v>166.92307692307693</v>
      </c>
      <c r="I67" s="68">
        <f t="shared" si="10"/>
        <v>493353.04179062089</v>
      </c>
      <c r="J67" s="68">
        <f t="shared" si="11"/>
        <v>42059.544271489729</v>
      </c>
      <c r="K67" s="68">
        <f t="shared" si="12"/>
        <v>2955.5712181004938</v>
      </c>
      <c r="L67" s="69">
        <f t="shared" si="13"/>
        <v>20.829846085481979</v>
      </c>
      <c r="M67" s="39">
        <v>2</v>
      </c>
      <c r="N67" s="30">
        <f t="shared" si="14"/>
        <v>1.97551161869904</v>
      </c>
      <c r="O67" s="30">
        <f t="shared" si="15"/>
        <v>7.6837227107527024</v>
      </c>
      <c r="P67" s="67">
        <f t="shared" si="16"/>
        <v>77.633957585862532</v>
      </c>
      <c r="Q67" s="67">
        <f t="shared" si="17"/>
        <v>85.553733351076488</v>
      </c>
      <c r="R67">
        <f t="shared" si="18"/>
        <v>0</v>
      </c>
      <c r="S67">
        <f t="shared" si="19"/>
        <v>250000</v>
      </c>
      <c r="T67" s="68">
        <f t="shared" si="20"/>
        <v>2747.888395239785</v>
      </c>
      <c r="U67" s="68">
        <f t="shared" si="21"/>
        <v>-347.88839523978504</v>
      </c>
      <c r="V67">
        <f t="shared" si="22"/>
        <v>0</v>
      </c>
      <c r="W67">
        <f>IF(AND(R67=1,S67&gt;=SC_LT,V67&lt;&gt;0,OR(IF(AND($G$4=$J$4,B67="X"),TRUE,FALSE),IF(AND($G$4=$J$3,A67="X",D67&lt;&gt;$O$4),TRUE,FALSE))),MAX($W$25:W66)+1,0)</f>
        <v>0</v>
      </c>
    </row>
    <row r="68" spans="1:23" x14ac:dyDescent="0.3">
      <c r="A68" s="10"/>
      <c r="B68" s="10" t="s">
        <v>116</v>
      </c>
      <c r="C68" s="39">
        <v>3397008372</v>
      </c>
      <c r="D68">
        <f t="shared" ref="D68:D110" si="23">INDEX($O$3:$O$4,MATCH(VALUE(LEFT(C68,3)),$Q$3:$Q$4,0))</f>
        <v>66.674999999999997</v>
      </c>
      <c r="E68">
        <f t="shared" ref="E68:E110" si="24">VALUE(RIGHT(LEFT(C68,5),2))/10</f>
        <v>7</v>
      </c>
      <c r="F68">
        <f t="shared" ref="F68:F110" si="25">VALUE(RIGHT(LEFT(C68,9),4))</f>
        <v>837</v>
      </c>
      <c r="G68" s="67">
        <f t="shared" ref="G68:G110" si="26">(F68/E68)-1</f>
        <v>118.57142857142857</v>
      </c>
      <c r="H68" s="67">
        <f t="shared" ref="H68:H110" si="27">G68-VLOOKUP(D68,$O$3:$P$4,2,0)</f>
        <v>111.57142857142857</v>
      </c>
      <c r="I68" s="68">
        <f t="shared" ref="I68:I110" si="28">(($E68^4)*206000*PI())/(32*($D68+$E68))</f>
        <v>659081.5134125523</v>
      </c>
      <c r="J68" s="68">
        <f t="shared" ref="J68:J110" si="29">((E68^3)*VLOOKUP(E68,$O$7:$P$13,2,0)*PI())/32</f>
        <v>51857.877233725019</v>
      </c>
      <c r="K68" s="68">
        <f t="shared" ref="K68:K110" si="30">I68/H68</f>
        <v>5907.2606835952192</v>
      </c>
      <c r="L68" s="69">
        <f t="shared" ref="L68:L110" si="31">((PI()*((E68/2)^2))*(PI()*(D68+E68)))*G68*(7.85/1000000)*M68</f>
        <v>16.581953135098953</v>
      </c>
      <c r="M68" s="39">
        <v>2</v>
      </c>
      <c r="N68" s="30">
        <f t="shared" ref="N68:N110" si="32">((SC_LMT/M68)+SC_SBD)/K68</f>
        <v>0.988404879010091</v>
      </c>
      <c r="O68" s="30">
        <f t="shared" ref="O68:O110" si="33">N68+SC_RDT</f>
        <v>6.6966159710637534</v>
      </c>
      <c r="P68" s="67">
        <f t="shared" ref="P68:P110" si="34">((((O68+SC_TOL_MIN)*K68)-SC_SBD)*M68)/(SC_HMA*9.81)</f>
        <v>137.83179419351282</v>
      </c>
      <c r="Q68" s="67">
        <f t="shared" ref="Q68:Q110" si="35">((((O68+SC_TOL_PLUS)*K68)-SC_SBD)*M68)/(SC_HMA*9.81)</f>
        <v>153.66094414402772</v>
      </c>
      <c r="R68">
        <f t="shared" ref="R68:R110" si="36">IF(AND(SC_W&gt;=P68,SC_W&lt;=Q68),1,0)</f>
        <v>0</v>
      </c>
      <c r="S68">
        <f t="shared" ref="S68:S110" si="37">_xlfn.IFNA(VLOOKUP(ROUND(VLOOKUP(ROUND(1-(SC_RDT/O68),2),SC_LT_TABLE,2,0)-(($I68*O68)/($H68*J68)),2),SC_LT_TABLE,3,0),0)</f>
        <v>50000</v>
      </c>
      <c r="T68" s="68">
        <f t="shared" ref="T68:T110" si="38">((F68+(O68*E68)+$K$9+$K$8+$K$11)*M68)+IF(M68=4,$K$10,0)</f>
        <v>2141.7526235948926</v>
      </c>
      <c r="U68" s="68">
        <f t="shared" ref="U68:U110" si="39">SC_DW-T68</f>
        <v>258.24737640510739</v>
      </c>
      <c r="V68" t="str">
        <f t="shared" ref="V68:V111" si="40">IF(U68&gt;=$K$15,$J$15,IF(U68&gt;=$K$14,$J$14,IF(AND(U68&gt;=$K$13,M68=4),$J$14,IF(U68&gt;=$K$13,$J$13,0))))</f>
        <v>Center</v>
      </c>
      <c r="W68">
        <f>IF(AND(R68=1,S68&gt;=SC_LT,V68&lt;&gt;0,OR(IF(AND($G$4=$J$4,B68="X"),TRUE,FALSE),IF(AND($G$4=$J$3,A68="X",D68&lt;&gt;$O$4),TRUE,FALSE))),MAX($W$25:W67)+1,0)</f>
        <v>0</v>
      </c>
    </row>
    <row r="69" spans="1:23" x14ac:dyDescent="0.3">
      <c r="A69" s="10"/>
      <c r="B69" s="10" t="s">
        <v>116</v>
      </c>
      <c r="C69" s="39">
        <v>3397009062</v>
      </c>
      <c r="D69">
        <f t="shared" si="23"/>
        <v>66.674999999999997</v>
      </c>
      <c r="E69">
        <f t="shared" si="24"/>
        <v>7</v>
      </c>
      <c r="F69">
        <f t="shared" si="25"/>
        <v>906</v>
      </c>
      <c r="G69" s="67">
        <f t="shared" si="26"/>
        <v>128.42857142857142</v>
      </c>
      <c r="H69" s="67">
        <f t="shared" si="27"/>
        <v>121.42857142857142</v>
      </c>
      <c r="I69" s="68">
        <f t="shared" si="28"/>
        <v>659081.5134125523</v>
      </c>
      <c r="J69" s="68">
        <f t="shared" si="29"/>
        <v>51857.877233725019</v>
      </c>
      <c r="K69" s="68">
        <f t="shared" si="30"/>
        <v>5427.7301104563139</v>
      </c>
      <c r="L69" s="69">
        <f t="shared" si="31"/>
        <v>17.960452853558984</v>
      </c>
      <c r="M69" s="39">
        <v>2</v>
      </c>
      <c r="N69" s="30">
        <f t="shared" si="32"/>
        <v>1.0757287415602781</v>
      </c>
      <c r="O69" s="30">
        <f t="shared" si="33"/>
        <v>6.7839398336139407</v>
      </c>
      <c r="P69" s="67">
        <f t="shared" si="34"/>
        <v>128.05207196065578</v>
      </c>
      <c r="Q69" s="67">
        <f t="shared" si="35"/>
        <v>142.59626738577595</v>
      </c>
      <c r="R69">
        <f t="shared" si="36"/>
        <v>0</v>
      </c>
      <c r="S69">
        <f t="shared" si="37"/>
        <v>65625</v>
      </c>
      <c r="T69" s="68">
        <f t="shared" si="38"/>
        <v>2280.9751576705949</v>
      </c>
      <c r="U69" s="68">
        <f t="shared" si="39"/>
        <v>119.02484232940515</v>
      </c>
      <c r="V69" t="str">
        <f t="shared" si="40"/>
        <v>No cut</v>
      </c>
      <c r="W69">
        <f>IF(AND(R69=1,S69&gt;=SC_LT,V69&lt;&gt;0,OR(IF(AND($G$4=$J$4,B69="X"),TRUE,FALSE),IF(AND($G$4=$J$3,A69="X",D69&lt;&gt;$O$4),TRUE,FALSE))),MAX($W$25:W68)+1,0)</f>
        <v>0</v>
      </c>
    </row>
    <row r="70" spans="1:23" x14ac:dyDescent="0.3">
      <c r="A70" s="10"/>
      <c r="B70" s="10" t="s">
        <v>116</v>
      </c>
      <c r="C70" s="39">
        <v>3397009752</v>
      </c>
      <c r="D70">
        <f t="shared" si="23"/>
        <v>66.674999999999997</v>
      </c>
      <c r="E70">
        <f t="shared" si="24"/>
        <v>7</v>
      </c>
      <c r="F70">
        <f t="shared" si="25"/>
        <v>975</v>
      </c>
      <c r="G70" s="67">
        <f t="shared" si="26"/>
        <v>138.28571428571428</v>
      </c>
      <c r="H70" s="67">
        <f t="shared" si="27"/>
        <v>131.28571428571428</v>
      </c>
      <c r="I70" s="68">
        <f t="shared" si="28"/>
        <v>659081.5134125523</v>
      </c>
      <c r="J70" s="68">
        <f t="shared" si="29"/>
        <v>51857.877233725019</v>
      </c>
      <c r="K70" s="68">
        <f t="shared" si="30"/>
        <v>5020.2073926962639</v>
      </c>
      <c r="L70" s="69">
        <f t="shared" si="31"/>
        <v>19.338952572019018</v>
      </c>
      <c r="M70" s="39">
        <v>2</v>
      </c>
      <c r="N70" s="30">
        <f t="shared" si="32"/>
        <v>1.1630526041104654</v>
      </c>
      <c r="O70" s="30">
        <f t="shared" si="33"/>
        <v>6.871263696164128</v>
      </c>
      <c r="P70" s="67">
        <f t="shared" si="34"/>
        <v>119.74090431771629</v>
      </c>
      <c r="Q70" s="67">
        <f t="shared" si="35"/>
        <v>133.19309812767509</v>
      </c>
      <c r="R70">
        <f t="shared" si="36"/>
        <v>1</v>
      </c>
      <c r="S70">
        <f t="shared" si="37"/>
        <v>78125</v>
      </c>
      <c r="T70" s="68">
        <f t="shared" si="38"/>
        <v>2420.197691746298</v>
      </c>
      <c r="U70" s="68">
        <f t="shared" si="39"/>
        <v>-20.197691746298005</v>
      </c>
      <c r="V70">
        <f t="shared" si="40"/>
        <v>0</v>
      </c>
      <c r="W70">
        <f>IF(AND(R70=1,S70&gt;=SC_LT,V70&lt;&gt;0,OR(IF(AND($G$4=$J$4,B70="X"),TRUE,FALSE),IF(AND($G$4=$J$3,A70="X",D70&lt;&gt;$O$4),TRUE,FALSE))),MAX($W$25:W69)+1,0)</f>
        <v>0</v>
      </c>
    </row>
    <row r="71" spans="1:23" x14ac:dyDescent="0.3">
      <c r="A71" s="10"/>
      <c r="B71" s="10" t="s">
        <v>116</v>
      </c>
      <c r="C71" s="39">
        <v>3397010442</v>
      </c>
      <c r="D71">
        <f t="shared" si="23"/>
        <v>66.674999999999997</v>
      </c>
      <c r="E71">
        <f t="shared" si="24"/>
        <v>7</v>
      </c>
      <c r="F71">
        <f t="shared" si="25"/>
        <v>1044</v>
      </c>
      <c r="G71" s="67">
        <f t="shared" si="26"/>
        <v>148.14285714285714</v>
      </c>
      <c r="H71" s="67">
        <f t="shared" si="27"/>
        <v>141.14285714285714</v>
      </c>
      <c r="I71" s="68">
        <f t="shared" si="28"/>
        <v>659081.5134125523</v>
      </c>
      <c r="J71" s="68">
        <f t="shared" si="29"/>
        <v>51857.877233725019</v>
      </c>
      <c r="K71" s="68">
        <f t="shared" si="30"/>
        <v>4669.6058642589742</v>
      </c>
      <c r="L71" s="69">
        <f t="shared" si="31"/>
        <v>20.717452290479049</v>
      </c>
      <c r="M71" s="39">
        <v>2</v>
      </c>
      <c r="N71" s="30">
        <f t="shared" si="32"/>
        <v>1.2503764666606527</v>
      </c>
      <c r="O71" s="30">
        <f t="shared" si="33"/>
        <v>6.9585875587143153</v>
      </c>
      <c r="P71" s="67">
        <f t="shared" si="34"/>
        <v>112.59060826862869</v>
      </c>
      <c r="Q71" s="67">
        <f t="shared" si="35"/>
        <v>125.10332700481507</v>
      </c>
      <c r="R71">
        <f t="shared" si="36"/>
        <v>1</v>
      </c>
      <c r="S71">
        <f t="shared" si="37"/>
        <v>90625</v>
      </c>
      <c r="T71" s="68">
        <f t="shared" si="38"/>
        <v>2559.4202258220002</v>
      </c>
      <c r="U71" s="68">
        <f t="shared" si="39"/>
        <v>-159.42022582200025</v>
      </c>
      <c r="V71">
        <f t="shared" si="40"/>
        <v>0</v>
      </c>
      <c r="W71">
        <f>IF(AND(R71=1,S71&gt;=SC_LT,V71&lt;&gt;0,OR(IF(AND($G$4=$J$4,B71="X"),TRUE,FALSE),IF(AND($G$4=$J$3,A71="X",D71&lt;&gt;$O$4),TRUE,FALSE))),MAX($W$25:W70)+1,0)</f>
        <v>0</v>
      </c>
    </row>
    <row r="72" spans="1:23" x14ac:dyDescent="0.3">
      <c r="A72" s="10"/>
      <c r="B72" s="10" t="s">
        <v>116</v>
      </c>
      <c r="C72" s="39">
        <v>3397011132</v>
      </c>
      <c r="D72">
        <f t="shared" si="23"/>
        <v>66.674999999999997</v>
      </c>
      <c r="E72">
        <f t="shared" si="24"/>
        <v>7</v>
      </c>
      <c r="F72">
        <f t="shared" si="25"/>
        <v>1113</v>
      </c>
      <c r="G72" s="67">
        <f t="shared" si="26"/>
        <v>158</v>
      </c>
      <c r="H72" s="67">
        <f t="shared" si="27"/>
        <v>151</v>
      </c>
      <c r="I72" s="68">
        <f t="shared" si="28"/>
        <v>659081.5134125523</v>
      </c>
      <c r="J72" s="68">
        <f t="shared" si="29"/>
        <v>51857.877233725019</v>
      </c>
      <c r="K72" s="68">
        <f t="shared" si="30"/>
        <v>4364.778234520214</v>
      </c>
      <c r="L72" s="69">
        <f t="shared" si="31"/>
        <v>22.095952008939086</v>
      </c>
      <c r="M72" s="39">
        <v>2</v>
      </c>
      <c r="N72" s="30">
        <f t="shared" si="32"/>
        <v>1.3377003292108403</v>
      </c>
      <c r="O72" s="30">
        <f t="shared" si="33"/>
        <v>7.0459114212645026</v>
      </c>
      <c r="P72" s="67">
        <f t="shared" si="34"/>
        <v>106.37384188347114</v>
      </c>
      <c r="Q72" s="67">
        <f t="shared" si="35"/>
        <v>118.06974170499636</v>
      </c>
      <c r="R72">
        <f t="shared" si="36"/>
        <v>0</v>
      </c>
      <c r="S72">
        <f t="shared" si="37"/>
        <v>114286</v>
      </c>
      <c r="T72" s="68">
        <f t="shared" si="38"/>
        <v>2698.6427598977029</v>
      </c>
      <c r="U72" s="68">
        <f t="shared" si="39"/>
        <v>-298.64275989770294</v>
      </c>
      <c r="V72">
        <f t="shared" si="40"/>
        <v>0</v>
      </c>
      <c r="W72">
        <f>IF(AND(R72=1,S72&gt;=SC_LT,V72&lt;&gt;0,OR(IF(AND($G$4=$J$4,B72="X"),TRUE,FALSE),IF(AND($G$4=$J$3,A72="X",D72&lt;&gt;$O$4),TRUE,FALSE))),MAX($W$25:W71)+1,0)</f>
        <v>0</v>
      </c>
    </row>
    <row r="73" spans="1:23" x14ac:dyDescent="0.3">
      <c r="A73" s="10"/>
      <c r="B73" s="10" t="s">
        <v>116</v>
      </c>
      <c r="C73" s="39">
        <v>3397011832</v>
      </c>
      <c r="D73">
        <f t="shared" si="23"/>
        <v>66.674999999999997</v>
      </c>
      <c r="E73">
        <f t="shared" si="24"/>
        <v>7</v>
      </c>
      <c r="F73">
        <f t="shared" si="25"/>
        <v>1183</v>
      </c>
      <c r="G73" s="67">
        <f t="shared" si="26"/>
        <v>168</v>
      </c>
      <c r="H73" s="67">
        <f t="shared" si="27"/>
        <v>161</v>
      </c>
      <c r="I73" s="68">
        <f t="shared" si="28"/>
        <v>659081.5134125523</v>
      </c>
      <c r="J73" s="68">
        <f t="shared" si="29"/>
        <v>51857.877233725019</v>
      </c>
      <c r="K73" s="68">
        <f t="shared" si="30"/>
        <v>4093.6739963512564</v>
      </c>
      <c r="L73" s="69">
        <f t="shared" si="31"/>
        <v>23.494429984188393</v>
      </c>
      <c r="M73" s="39">
        <v>2</v>
      </c>
      <c r="N73" s="30">
        <f t="shared" si="32"/>
        <v>1.4262897549863927</v>
      </c>
      <c r="O73" s="30">
        <f t="shared" si="33"/>
        <v>7.134500847040055</v>
      </c>
      <c r="P73" s="67">
        <f t="shared" si="34"/>
        <v>100.84484270394498</v>
      </c>
      <c r="Q73" s="67">
        <f t="shared" si="35"/>
        <v>111.8142891204065</v>
      </c>
      <c r="R73">
        <f t="shared" si="36"/>
        <v>0</v>
      </c>
      <c r="S73">
        <f t="shared" si="37"/>
        <v>171429</v>
      </c>
      <c r="T73" s="68">
        <f t="shared" si="38"/>
        <v>2839.8830118585606</v>
      </c>
      <c r="U73" s="68">
        <f t="shared" si="39"/>
        <v>-439.88301185856062</v>
      </c>
      <c r="V73">
        <f t="shared" si="40"/>
        <v>0</v>
      </c>
      <c r="W73">
        <f>IF(AND(R73=1,S73&gt;=SC_LT,V73&lt;&gt;0,OR(IF(AND($G$4=$J$4,B73="X"),TRUE,FALSE),IF(AND($G$4=$J$3,A73="X",D73&lt;&gt;$O$4),TRUE,FALSE))),MAX($W$25:W72)+1,0)</f>
        <v>0</v>
      </c>
    </row>
    <row r="74" spans="1:23" x14ac:dyDescent="0.3">
      <c r="A74" s="10"/>
      <c r="B74" s="10" t="s">
        <v>116</v>
      </c>
      <c r="C74" s="39">
        <v>3397012522</v>
      </c>
      <c r="D74">
        <f t="shared" si="23"/>
        <v>66.674999999999997</v>
      </c>
      <c r="E74">
        <f t="shared" si="24"/>
        <v>7</v>
      </c>
      <c r="F74">
        <f t="shared" si="25"/>
        <v>1252</v>
      </c>
      <c r="G74" s="67">
        <f t="shared" si="26"/>
        <v>177.85714285714286</v>
      </c>
      <c r="H74" s="67">
        <f t="shared" si="27"/>
        <v>170.85714285714286</v>
      </c>
      <c r="I74" s="68">
        <f t="shared" si="28"/>
        <v>659081.5134125523</v>
      </c>
      <c r="J74" s="68">
        <f t="shared" si="29"/>
        <v>51857.877233725019</v>
      </c>
      <c r="K74" s="68">
        <f t="shared" si="30"/>
        <v>3857.5004965617609</v>
      </c>
      <c r="L74" s="69">
        <f t="shared" si="31"/>
        <v>24.872929702648428</v>
      </c>
      <c r="M74" s="39">
        <v>2</v>
      </c>
      <c r="N74" s="30">
        <f t="shared" si="32"/>
        <v>1.51361361753658</v>
      </c>
      <c r="O74" s="30">
        <f t="shared" si="33"/>
        <v>7.2218247095902424</v>
      </c>
      <c r="P74" s="67">
        <f t="shared" si="34"/>
        <v>96.028233803319281</v>
      </c>
      <c r="Q74" s="67">
        <f t="shared" si="35"/>
        <v>106.36482754190803</v>
      </c>
      <c r="R74">
        <f t="shared" si="36"/>
        <v>0</v>
      </c>
      <c r="S74">
        <f t="shared" si="37"/>
        <v>200000</v>
      </c>
      <c r="T74" s="68">
        <f t="shared" si="38"/>
        <v>2979.1055459342633</v>
      </c>
      <c r="U74" s="68">
        <f t="shared" si="39"/>
        <v>-579.10554593426332</v>
      </c>
      <c r="V74">
        <f t="shared" si="40"/>
        <v>0</v>
      </c>
      <c r="W74">
        <f>IF(AND(R74=1,S74&gt;=SC_LT,V74&lt;&gt;0,OR(IF(AND($G$4=$J$4,B74="X"),TRUE,FALSE),IF(AND($G$4=$J$3,A74="X",D74&lt;&gt;$O$4),TRUE,FALSE))),MAX($W$25:W73)+1,0)</f>
        <v>0</v>
      </c>
    </row>
    <row r="75" spans="1:23" x14ac:dyDescent="0.3">
      <c r="A75" s="10"/>
      <c r="B75" s="10" t="s">
        <v>116</v>
      </c>
      <c r="C75" s="39">
        <v>3295004482</v>
      </c>
      <c r="D75">
        <f t="shared" si="23"/>
        <v>50.8</v>
      </c>
      <c r="E75">
        <f t="shared" si="24"/>
        <v>5</v>
      </c>
      <c r="F75">
        <f t="shared" si="25"/>
        <v>448</v>
      </c>
      <c r="G75" s="67">
        <f t="shared" si="26"/>
        <v>88.6</v>
      </c>
      <c r="H75" s="67">
        <f t="shared" si="27"/>
        <v>80.599999999999994</v>
      </c>
      <c r="I75" s="68">
        <f t="shared" si="28"/>
        <v>226523.32781680438</v>
      </c>
      <c r="J75" s="68">
        <f t="shared" si="29"/>
        <v>20371.264863121316</v>
      </c>
      <c r="K75" s="68">
        <f t="shared" si="30"/>
        <v>2810.4631242779701</v>
      </c>
      <c r="L75" s="69">
        <f t="shared" si="31"/>
        <v>9.5758499370173134</v>
      </c>
      <c r="M75" s="39">
        <v>4</v>
      </c>
      <c r="N75" s="30">
        <f t="shared" si="32"/>
        <v>1.2132280303449943</v>
      </c>
      <c r="O75" s="30">
        <f t="shared" si="33"/>
        <v>6.9214391223986569</v>
      </c>
      <c r="P75" s="67">
        <f t="shared" si="34"/>
        <v>131.99218479789863</v>
      </c>
      <c r="Q75" s="67">
        <f t="shared" si="35"/>
        <v>147.05407036801816</v>
      </c>
      <c r="R75">
        <f t="shared" si="36"/>
        <v>0</v>
      </c>
      <c r="S75">
        <f t="shared" si="37"/>
        <v>15833</v>
      </c>
      <c r="T75" s="68">
        <f t="shared" si="38"/>
        <v>2794.4287824479734</v>
      </c>
      <c r="U75" s="68">
        <f t="shared" si="39"/>
        <v>-394.42878244797339</v>
      </c>
      <c r="V75">
        <f t="shared" si="40"/>
        <v>0</v>
      </c>
      <c r="W75">
        <f>IF(AND(R75=1,S75&gt;=SC_LT,V75&lt;&gt;0,OR(IF(AND($G$4=$J$4,B75="X"),TRUE,FALSE),IF(AND($G$4=$J$3,A75="X",D75&lt;&gt;$O$4),TRUE,FALSE))),MAX($W$25:W74)+1,0)</f>
        <v>0</v>
      </c>
    </row>
    <row r="76" spans="1:23" x14ac:dyDescent="0.3">
      <c r="A76" s="10"/>
      <c r="B76" s="10" t="s">
        <v>116</v>
      </c>
      <c r="C76" s="39">
        <v>3295004902</v>
      </c>
      <c r="D76">
        <f t="shared" si="23"/>
        <v>50.8</v>
      </c>
      <c r="E76">
        <f t="shared" si="24"/>
        <v>5</v>
      </c>
      <c r="F76">
        <f t="shared" si="25"/>
        <v>490</v>
      </c>
      <c r="G76" s="67">
        <f t="shared" si="26"/>
        <v>97</v>
      </c>
      <c r="H76" s="67">
        <f t="shared" si="27"/>
        <v>89</v>
      </c>
      <c r="I76" s="68">
        <f t="shared" si="28"/>
        <v>226523.32781680438</v>
      </c>
      <c r="J76" s="68">
        <f t="shared" si="29"/>
        <v>20371.264863121316</v>
      </c>
      <c r="K76" s="68">
        <f t="shared" si="30"/>
        <v>2545.2059305258917</v>
      </c>
      <c r="L76" s="69">
        <f t="shared" si="31"/>
        <v>10.48371832833724</v>
      </c>
      <c r="M76" s="39">
        <v>4</v>
      </c>
      <c r="N76" s="30">
        <f t="shared" si="32"/>
        <v>1.339668668743232</v>
      </c>
      <c r="O76" s="30">
        <f t="shared" si="33"/>
        <v>7.0478797607968948</v>
      </c>
      <c r="P76" s="67">
        <f t="shared" si="34"/>
        <v>121.17267997182772</v>
      </c>
      <c r="Q76" s="67">
        <f t="shared" si="35"/>
        <v>134.81299431959889</v>
      </c>
      <c r="R76">
        <f t="shared" si="36"/>
        <v>1</v>
      </c>
      <c r="S76">
        <f t="shared" si="37"/>
        <v>22500</v>
      </c>
      <c r="T76" s="68">
        <f t="shared" si="38"/>
        <v>2964.957595215938</v>
      </c>
      <c r="U76" s="68">
        <f t="shared" si="39"/>
        <v>-564.957595215938</v>
      </c>
      <c r="V76">
        <f t="shared" si="40"/>
        <v>0</v>
      </c>
      <c r="W76">
        <f>IF(AND(R76=1,S76&gt;=SC_LT,V76&lt;&gt;0,OR(IF(AND($G$4=$J$4,B76="X"),TRUE,FALSE),IF(AND($G$4=$J$3,A76="X",D76&lt;&gt;$O$4),TRUE,FALSE))),MAX($W$25:W75)+1,0)</f>
        <v>0</v>
      </c>
    </row>
    <row r="77" spans="1:23" x14ac:dyDescent="0.3">
      <c r="A77" s="10"/>
      <c r="B77" s="10" t="s">
        <v>116</v>
      </c>
      <c r="C77" s="39">
        <v>3295005332</v>
      </c>
      <c r="D77">
        <f t="shared" si="23"/>
        <v>50.8</v>
      </c>
      <c r="E77">
        <f t="shared" si="24"/>
        <v>5</v>
      </c>
      <c r="F77">
        <f t="shared" si="25"/>
        <v>533</v>
      </c>
      <c r="G77" s="67">
        <f t="shared" si="26"/>
        <v>105.6</v>
      </c>
      <c r="H77" s="67">
        <f t="shared" si="27"/>
        <v>97.6</v>
      </c>
      <c r="I77" s="68">
        <f t="shared" si="28"/>
        <v>226523.32781680438</v>
      </c>
      <c r="J77" s="68">
        <f t="shared" si="29"/>
        <v>20371.264863121316</v>
      </c>
      <c r="K77" s="68">
        <f t="shared" si="30"/>
        <v>2320.935735827914</v>
      </c>
      <c r="L77" s="69">
        <f t="shared" si="31"/>
        <v>11.413202633736212</v>
      </c>
      <c r="M77" s="39">
        <v>4</v>
      </c>
      <c r="N77" s="30">
        <f t="shared" si="32"/>
        <v>1.4691197985319036</v>
      </c>
      <c r="O77" s="30">
        <f t="shared" si="33"/>
        <v>7.1773308905855666</v>
      </c>
      <c r="P77" s="67">
        <f t="shared" si="34"/>
        <v>112.02498290259555</v>
      </c>
      <c r="Q77" s="67">
        <f t="shared" si="35"/>
        <v>124.46338430578851</v>
      </c>
      <c r="R77">
        <f t="shared" si="36"/>
        <v>0</v>
      </c>
      <c r="S77">
        <f t="shared" si="37"/>
        <v>33333</v>
      </c>
      <c r="T77" s="68">
        <f t="shared" si="38"/>
        <v>3139.5466178117113</v>
      </c>
      <c r="U77" s="68">
        <f t="shared" si="39"/>
        <v>-739.54661781171126</v>
      </c>
      <c r="V77">
        <f t="shared" si="40"/>
        <v>0</v>
      </c>
      <c r="W77">
        <f>IF(AND(R77=1,S77&gt;=SC_LT,V77&lt;&gt;0,OR(IF(AND($G$4=$J$4,B77="X"),TRUE,FALSE),IF(AND($G$4=$J$3,A77="X",D77&lt;&gt;$O$4),TRUE,FALSE))),MAX($W$25:W76)+1,0)</f>
        <v>0</v>
      </c>
    </row>
    <row r="78" spans="1:23" x14ac:dyDescent="0.3">
      <c r="A78" s="10"/>
      <c r="B78" s="10" t="s">
        <v>116</v>
      </c>
      <c r="C78" s="39">
        <v>3295005762</v>
      </c>
      <c r="D78">
        <f t="shared" si="23"/>
        <v>50.8</v>
      </c>
      <c r="E78">
        <f t="shared" si="24"/>
        <v>5</v>
      </c>
      <c r="F78">
        <f t="shared" si="25"/>
        <v>576</v>
      </c>
      <c r="G78" s="67">
        <f t="shared" si="26"/>
        <v>114.2</v>
      </c>
      <c r="H78" s="67">
        <f t="shared" si="27"/>
        <v>106.2</v>
      </c>
      <c r="I78" s="68">
        <f t="shared" si="28"/>
        <v>226523.32781680438</v>
      </c>
      <c r="J78" s="68">
        <f t="shared" si="29"/>
        <v>20371.264863121316</v>
      </c>
      <c r="K78" s="68">
        <f t="shared" si="30"/>
        <v>2132.9880208738641</v>
      </c>
      <c r="L78" s="69">
        <f t="shared" si="31"/>
        <v>12.342686939135183</v>
      </c>
      <c r="M78" s="39">
        <v>4</v>
      </c>
      <c r="N78" s="30">
        <f t="shared" si="32"/>
        <v>1.5985709283205756</v>
      </c>
      <c r="O78" s="30">
        <f t="shared" si="33"/>
        <v>7.3067820203742384</v>
      </c>
      <c r="P78" s="67">
        <f t="shared" si="34"/>
        <v>104.35883375794708</v>
      </c>
      <c r="Q78" s="67">
        <f t="shared" si="35"/>
        <v>115.78998231681369</v>
      </c>
      <c r="R78">
        <f t="shared" si="36"/>
        <v>0</v>
      </c>
      <c r="S78">
        <f t="shared" si="37"/>
        <v>53125</v>
      </c>
      <c r="T78" s="68">
        <f t="shared" si="38"/>
        <v>3314.135640407485</v>
      </c>
      <c r="U78" s="68">
        <f t="shared" si="39"/>
        <v>-914.13564040748497</v>
      </c>
      <c r="V78">
        <f t="shared" si="40"/>
        <v>0</v>
      </c>
      <c r="W78">
        <f>IF(AND(R78=1,S78&gt;=SC_LT,V78&lt;&gt;0,OR(IF(AND($G$4=$J$4,B78="X"),TRUE,FALSE),IF(AND($G$4=$J$3,A78="X",D78&lt;&gt;$O$4),TRUE,FALSE))),MAX($W$25:W77)+1,0)</f>
        <v>0</v>
      </c>
    </row>
    <row r="79" spans="1:23" x14ac:dyDescent="0.3">
      <c r="A79" s="10"/>
      <c r="B79" s="10" t="s">
        <v>116</v>
      </c>
      <c r="C79" s="39">
        <v>3295006192</v>
      </c>
      <c r="D79">
        <f t="shared" si="23"/>
        <v>50.8</v>
      </c>
      <c r="E79">
        <f t="shared" si="24"/>
        <v>5</v>
      </c>
      <c r="F79">
        <f t="shared" si="25"/>
        <v>619</v>
      </c>
      <c r="G79" s="67">
        <f t="shared" si="26"/>
        <v>122.8</v>
      </c>
      <c r="H79" s="67">
        <f t="shared" si="27"/>
        <v>114.8</v>
      </c>
      <c r="I79" s="68">
        <f t="shared" si="28"/>
        <v>226523.32781680438</v>
      </c>
      <c r="J79" s="68">
        <f t="shared" si="29"/>
        <v>20371.264863121316</v>
      </c>
      <c r="K79" s="68">
        <f t="shared" si="30"/>
        <v>1973.1997196585748</v>
      </c>
      <c r="L79" s="69">
        <f t="shared" si="31"/>
        <v>13.272171244534155</v>
      </c>
      <c r="M79" s="39">
        <v>4</v>
      </c>
      <c r="N79" s="30">
        <f t="shared" si="32"/>
        <v>1.7280220581092474</v>
      </c>
      <c r="O79" s="30">
        <f t="shared" si="33"/>
        <v>7.4362331501629102</v>
      </c>
      <c r="P79" s="67">
        <f t="shared" si="34"/>
        <v>97.841271418942853</v>
      </c>
      <c r="Q79" s="67">
        <f t="shared" si="35"/>
        <v>108.41607958054243</v>
      </c>
      <c r="R79">
        <f t="shared" si="36"/>
        <v>0</v>
      </c>
      <c r="S79">
        <f t="shared" si="37"/>
        <v>68750</v>
      </c>
      <c r="T79" s="68">
        <f t="shared" si="38"/>
        <v>3488.7246630032582</v>
      </c>
      <c r="U79" s="68">
        <f t="shared" si="39"/>
        <v>-1088.7246630032582</v>
      </c>
      <c r="V79">
        <f t="shared" si="40"/>
        <v>0</v>
      </c>
      <c r="W79">
        <f>IF(AND(R79=1,S79&gt;=SC_LT,V79&lt;&gt;0,OR(IF(AND($G$4=$J$4,B79="X"),TRUE,FALSE),IF(AND($G$4=$J$3,A79="X",D79&lt;&gt;$O$4),TRUE,FALSE))),MAX($W$25:W78)+1,0)</f>
        <v>0</v>
      </c>
    </row>
    <row r="80" spans="1:23" x14ac:dyDescent="0.3">
      <c r="A80" s="10"/>
      <c r="B80" s="10" t="s">
        <v>116</v>
      </c>
      <c r="C80" s="39">
        <v>3295006632</v>
      </c>
      <c r="D80">
        <f t="shared" si="23"/>
        <v>50.8</v>
      </c>
      <c r="E80">
        <f t="shared" si="24"/>
        <v>5</v>
      </c>
      <c r="F80">
        <f t="shared" si="25"/>
        <v>663</v>
      </c>
      <c r="G80" s="67">
        <f t="shared" si="26"/>
        <v>131.6</v>
      </c>
      <c r="H80" s="67">
        <f t="shared" si="27"/>
        <v>123.6</v>
      </c>
      <c r="I80" s="68">
        <f t="shared" si="28"/>
        <v>226523.32781680438</v>
      </c>
      <c r="J80" s="68">
        <f t="shared" si="29"/>
        <v>20371.264863121316</v>
      </c>
      <c r="K80" s="68">
        <f t="shared" si="30"/>
        <v>1832.7130082265728</v>
      </c>
      <c r="L80" s="69">
        <f t="shared" si="31"/>
        <v>14.223271464012171</v>
      </c>
      <c r="M80" s="39">
        <v>4</v>
      </c>
      <c r="N80" s="30">
        <f t="shared" si="32"/>
        <v>1.8604836792883535</v>
      </c>
      <c r="O80" s="30">
        <f t="shared" si="33"/>
        <v>7.5686947713420167</v>
      </c>
      <c r="P80" s="67">
        <f t="shared" si="34"/>
        <v>92.110996470177327</v>
      </c>
      <c r="Q80" s="67">
        <f t="shared" si="35"/>
        <v>101.93290566881514</v>
      </c>
      <c r="R80">
        <f t="shared" si="36"/>
        <v>0</v>
      </c>
      <c r="S80">
        <f t="shared" si="37"/>
        <v>87500</v>
      </c>
      <c r="T80" s="68">
        <f t="shared" si="38"/>
        <v>3667.3738954268401</v>
      </c>
      <c r="U80" s="68">
        <f t="shared" si="39"/>
        <v>-1267.3738954268401</v>
      </c>
      <c r="V80">
        <f t="shared" si="40"/>
        <v>0</v>
      </c>
      <c r="W80">
        <f>IF(AND(R80=1,S80&gt;=SC_LT,V80&lt;&gt;0,OR(IF(AND($G$4=$J$4,B80="X"),TRUE,FALSE),IF(AND($G$4=$J$3,A80="X",D80&lt;&gt;$O$4),TRUE,FALSE))),MAX($W$25:W79)+1,0)</f>
        <v>0</v>
      </c>
    </row>
    <row r="81" spans="1:23" x14ac:dyDescent="0.3">
      <c r="A81" s="10"/>
      <c r="B81" s="10" t="s">
        <v>116</v>
      </c>
      <c r="C81" s="39">
        <v>3295305032</v>
      </c>
      <c r="D81">
        <f t="shared" si="23"/>
        <v>50.8</v>
      </c>
      <c r="E81">
        <f t="shared" si="24"/>
        <v>5.3</v>
      </c>
      <c r="F81">
        <f t="shared" si="25"/>
        <v>503</v>
      </c>
      <c r="G81" s="67">
        <f t="shared" si="26"/>
        <v>93.905660377358487</v>
      </c>
      <c r="H81" s="67">
        <f t="shared" si="27"/>
        <v>85.905660377358487</v>
      </c>
      <c r="I81" s="68">
        <f t="shared" si="28"/>
        <v>284451.17487941781</v>
      </c>
      <c r="J81" s="68">
        <f t="shared" si="29"/>
        <v>23970.183086284989</v>
      </c>
      <c r="K81" s="68">
        <f t="shared" si="30"/>
        <v>3311.2041002875344</v>
      </c>
      <c r="L81" s="69">
        <f t="shared" si="31"/>
        <v>11.465045265860823</v>
      </c>
      <c r="M81" s="39">
        <v>4</v>
      </c>
      <c r="N81" s="30">
        <f t="shared" si="32"/>
        <v>1.0297561060427867</v>
      </c>
      <c r="O81" s="30">
        <f t="shared" si="33"/>
        <v>6.7379671980964497</v>
      </c>
      <c r="P81" s="67">
        <f t="shared" si="34"/>
        <v>152.41677472103055</v>
      </c>
      <c r="Q81" s="67">
        <f t="shared" si="35"/>
        <v>170.16224052238462</v>
      </c>
      <c r="R81">
        <f t="shared" si="36"/>
        <v>0</v>
      </c>
      <c r="S81">
        <f t="shared" si="37"/>
        <v>17500</v>
      </c>
      <c r="T81" s="68">
        <f t="shared" si="38"/>
        <v>3018.8449045996449</v>
      </c>
      <c r="U81" s="68">
        <f t="shared" si="39"/>
        <v>-618.84490459964491</v>
      </c>
      <c r="V81">
        <f t="shared" si="40"/>
        <v>0</v>
      </c>
      <c r="W81">
        <f>IF(AND(R81=1,S81&gt;=SC_LT,V81&lt;&gt;0,OR(IF(AND($G$4=$J$4,B81="X"),TRUE,FALSE),IF(AND($G$4=$J$3,A81="X",D81&lt;&gt;$O$4),TRUE,FALSE))),MAX($W$25:W80)+1,0)</f>
        <v>0</v>
      </c>
    </row>
    <row r="82" spans="1:23" x14ac:dyDescent="0.3">
      <c r="A82" s="10"/>
      <c r="B82" s="10" t="s">
        <v>116</v>
      </c>
      <c r="C82" s="39">
        <v>3295305512</v>
      </c>
      <c r="D82">
        <f t="shared" si="23"/>
        <v>50.8</v>
      </c>
      <c r="E82">
        <f t="shared" si="24"/>
        <v>5.3</v>
      </c>
      <c r="F82">
        <f t="shared" si="25"/>
        <v>551</v>
      </c>
      <c r="G82" s="67">
        <f t="shared" si="26"/>
        <v>102.9622641509434</v>
      </c>
      <c r="H82" s="67">
        <f t="shared" si="27"/>
        <v>94.962264150943398</v>
      </c>
      <c r="I82" s="68">
        <f t="shared" si="28"/>
        <v>284451.17487941781</v>
      </c>
      <c r="J82" s="68">
        <f t="shared" si="29"/>
        <v>23970.183086284989</v>
      </c>
      <c r="K82" s="68">
        <f t="shared" si="30"/>
        <v>2995.4127297057707</v>
      </c>
      <c r="L82" s="69">
        <f t="shared" si="31"/>
        <v>12.570775972634621</v>
      </c>
      <c r="M82" s="39">
        <v>4</v>
      </c>
      <c r="N82" s="30">
        <f t="shared" si="32"/>
        <v>1.1383181378680749</v>
      </c>
      <c r="O82" s="30">
        <f t="shared" si="33"/>
        <v>6.846529229921738</v>
      </c>
      <c r="P82" s="67">
        <f t="shared" si="34"/>
        <v>139.53604485387243</v>
      </c>
      <c r="Q82" s="67">
        <f t="shared" si="35"/>
        <v>155.58911574470594</v>
      </c>
      <c r="R82">
        <f t="shared" si="36"/>
        <v>0</v>
      </c>
      <c r="S82">
        <f t="shared" si="37"/>
        <v>25000</v>
      </c>
      <c r="T82" s="68">
        <f t="shared" si="38"/>
        <v>3213.1464196743409</v>
      </c>
      <c r="U82" s="68">
        <f t="shared" si="39"/>
        <v>-813.1464196743409</v>
      </c>
      <c r="V82">
        <f t="shared" si="40"/>
        <v>0</v>
      </c>
      <c r="W82">
        <f>IF(AND(R82=1,S82&gt;=SC_LT,V82&lt;&gt;0,OR(IF(AND($G$4=$J$4,B82="X"),TRUE,FALSE),IF(AND($G$4=$J$3,A82="X",D82&lt;&gt;$O$4),TRUE,FALSE))),MAX($W$25:W81)+1,0)</f>
        <v>0</v>
      </c>
    </row>
    <row r="83" spans="1:23" x14ac:dyDescent="0.3">
      <c r="A83" s="10"/>
      <c r="B83" s="10" t="s">
        <v>116</v>
      </c>
      <c r="C83" s="39">
        <v>3295306002</v>
      </c>
      <c r="D83">
        <f t="shared" si="23"/>
        <v>50.8</v>
      </c>
      <c r="E83">
        <f t="shared" si="24"/>
        <v>5.3</v>
      </c>
      <c r="F83">
        <f t="shared" si="25"/>
        <v>600</v>
      </c>
      <c r="G83" s="67">
        <f t="shared" si="26"/>
        <v>112.20754716981132</v>
      </c>
      <c r="H83" s="67">
        <f t="shared" si="27"/>
        <v>104.20754716981132</v>
      </c>
      <c r="I83" s="68">
        <f t="shared" si="28"/>
        <v>284451.17487941781</v>
      </c>
      <c r="J83" s="68">
        <f t="shared" si="29"/>
        <v>23970.183086284989</v>
      </c>
      <c r="K83" s="68">
        <f t="shared" si="30"/>
        <v>2729.6600160436619</v>
      </c>
      <c r="L83" s="69">
        <f t="shared" si="31"/>
        <v>13.699542735799541</v>
      </c>
      <c r="M83" s="39">
        <v>4</v>
      </c>
      <c r="N83" s="30">
        <f t="shared" si="32"/>
        <v>1.2491418786897235</v>
      </c>
      <c r="O83" s="30">
        <f t="shared" si="33"/>
        <v>6.9573529707433863</v>
      </c>
      <c r="P83" s="67">
        <f t="shared" si="34"/>
        <v>128.69632839854404</v>
      </c>
      <c r="Q83" s="67">
        <f t="shared" si="35"/>
        <v>143.32517246763061</v>
      </c>
      <c r="R83">
        <f t="shared" si="36"/>
        <v>0</v>
      </c>
      <c r="S83">
        <f t="shared" si="37"/>
        <v>38250</v>
      </c>
      <c r="T83" s="68">
        <f t="shared" si="38"/>
        <v>3411.4958829797597</v>
      </c>
      <c r="U83" s="68">
        <f t="shared" si="39"/>
        <v>-1011.4958829797597</v>
      </c>
      <c r="V83">
        <f t="shared" si="40"/>
        <v>0</v>
      </c>
      <c r="W83">
        <f>IF(AND(R83=1,S83&gt;=SC_LT,V83&lt;&gt;0,OR(IF(AND($G$4=$J$4,B83="X"),TRUE,FALSE),IF(AND($G$4=$J$3,A83="X",D83&lt;&gt;$O$4),TRUE,FALSE))),MAX($W$25:W82)+1,0)</f>
        <v>0</v>
      </c>
    </row>
    <row r="84" spans="1:23" x14ac:dyDescent="0.3">
      <c r="A84" s="10"/>
      <c r="B84" s="10" t="s">
        <v>116</v>
      </c>
      <c r="C84" s="39">
        <v>3295306492</v>
      </c>
      <c r="D84">
        <f t="shared" si="23"/>
        <v>50.8</v>
      </c>
      <c r="E84">
        <f t="shared" si="24"/>
        <v>5.3</v>
      </c>
      <c r="F84">
        <f t="shared" si="25"/>
        <v>649</v>
      </c>
      <c r="G84" s="67">
        <f t="shared" si="26"/>
        <v>121.45283018867924</v>
      </c>
      <c r="H84" s="67">
        <f t="shared" si="27"/>
        <v>113.45283018867924</v>
      </c>
      <c r="I84" s="68">
        <f t="shared" si="28"/>
        <v>284451.17487941781</v>
      </c>
      <c r="J84" s="68">
        <f t="shared" si="29"/>
        <v>23970.183086284989</v>
      </c>
      <c r="K84" s="68">
        <f t="shared" si="30"/>
        <v>2507.2197353416173</v>
      </c>
      <c r="L84" s="69">
        <f t="shared" si="31"/>
        <v>14.82830949896446</v>
      </c>
      <c r="M84" s="39">
        <v>4</v>
      </c>
      <c r="N84" s="30">
        <f t="shared" si="32"/>
        <v>1.3599656195113718</v>
      </c>
      <c r="O84" s="30">
        <f t="shared" si="33"/>
        <v>7.0681767115650347</v>
      </c>
      <c r="P84" s="67">
        <f t="shared" si="34"/>
        <v>119.62327120252414</v>
      </c>
      <c r="Q84" s="67">
        <f t="shared" si="35"/>
        <v>133.06000923571307</v>
      </c>
      <c r="R84">
        <f t="shared" si="36"/>
        <v>1</v>
      </c>
      <c r="S84">
        <f t="shared" si="37"/>
        <v>56250</v>
      </c>
      <c r="T84" s="68">
        <f t="shared" si="38"/>
        <v>3609.8453462851785</v>
      </c>
      <c r="U84" s="68">
        <f t="shared" si="39"/>
        <v>-1209.8453462851785</v>
      </c>
      <c r="V84">
        <f t="shared" si="40"/>
        <v>0</v>
      </c>
      <c r="W84">
        <f>IF(AND(R84=1,S84&gt;=SC_LT,V84&lt;&gt;0,OR(IF(AND($G$4=$J$4,B84="X"),TRUE,FALSE),IF(AND($G$4=$J$3,A84="X",D84&lt;&gt;$O$4),TRUE,FALSE))),MAX($W$25:W83)+1,0)</f>
        <v>0</v>
      </c>
    </row>
    <row r="85" spans="1:23" x14ac:dyDescent="0.3">
      <c r="A85" s="10"/>
      <c r="B85" s="10" t="s">
        <v>116</v>
      </c>
      <c r="C85" s="39">
        <v>3295306972</v>
      </c>
      <c r="D85">
        <f t="shared" si="23"/>
        <v>50.8</v>
      </c>
      <c r="E85">
        <f t="shared" si="24"/>
        <v>5.3</v>
      </c>
      <c r="F85">
        <f t="shared" si="25"/>
        <v>697</v>
      </c>
      <c r="G85" s="67">
        <f t="shared" si="26"/>
        <v>130.50943396226415</v>
      </c>
      <c r="H85" s="67">
        <f t="shared" si="27"/>
        <v>122.50943396226415</v>
      </c>
      <c r="I85" s="68">
        <f t="shared" si="28"/>
        <v>284451.17487941781</v>
      </c>
      <c r="J85" s="68">
        <f t="shared" si="29"/>
        <v>23970.183086284989</v>
      </c>
      <c r="K85" s="68">
        <f t="shared" si="30"/>
        <v>2321.8715953502456</v>
      </c>
      <c r="L85" s="69">
        <f t="shared" si="31"/>
        <v>15.93404020573826</v>
      </c>
      <c r="M85" s="39">
        <v>4</v>
      </c>
      <c r="N85" s="30">
        <f t="shared" si="32"/>
        <v>1.4685276513366603</v>
      </c>
      <c r="O85" s="30">
        <f t="shared" si="33"/>
        <v>7.1767387433903229</v>
      </c>
      <c r="P85" s="67">
        <f t="shared" si="34"/>
        <v>112.06315542668494</v>
      </c>
      <c r="Q85" s="67">
        <f t="shared" si="35"/>
        <v>124.50657230541053</v>
      </c>
      <c r="R85">
        <f t="shared" si="36"/>
        <v>0</v>
      </c>
      <c r="S85">
        <f t="shared" si="37"/>
        <v>71875</v>
      </c>
      <c r="T85" s="68">
        <f t="shared" si="38"/>
        <v>3804.1468613598749</v>
      </c>
      <c r="U85" s="68">
        <f t="shared" si="39"/>
        <v>-1404.1468613598749</v>
      </c>
      <c r="V85">
        <f t="shared" si="40"/>
        <v>0</v>
      </c>
      <c r="W85">
        <f>IF(AND(R85=1,S85&gt;=SC_LT,V85&lt;&gt;0,OR(IF(AND($G$4=$J$4,B85="X"),TRUE,FALSE),IF(AND($G$4=$J$3,A85="X",D85&lt;&gt;$O$4),TRUE,FALSE))),MAX($W$25:W84)+1,0)</f>
        <v>0</v>
      </c>
    </row>
    <row r="86" spans="1:23" x14ac:dyDescent="0.3">
      <c r="A86" s="10"/>
      <c r="B86" s="10" t="s">
        <v>116</v>
      </c>
      <c r="C86" s="39">
        <v>3295307462</v>
      </c>
      <c r="D86">
        <f t="shared" si="23"/>
        <v>50.8</v>
      </c>
      <c r="E86">
        <f t="shared" si="24"/>
        <v>5.3</v>
      </c>
      <c r="F86">
        <f t="shared" si="25"/>
        <v>746</v>
      </c>
      <c r="G86" s="67">
        <f t="shared" si="26"/>
        <v>139.75471698113208</v>
      </c>
      <c r="H86" s="67">
        <f t="shared" si="27"/>
        <v>131.75471698113208</v>
      </c>
      <c r="I86" s="68">
        <f t="shared" si="28"/>
        <v>284451.17487941781</v>
      </c>
      <c r="J86" s="68">
        <f t="shared" si="29"/>
        <v>23970.183086284989</v>
      </c>
      <c r="K86" s="68">
        <f t="shared" si="30"/>
        <v>2158.9449045695465</v>
      </c>
      <c r="L86" s="69">
        <f t="shared" si="31"/>
        <v>17.062806968903178</v>
      </c>
      <c r="M86" s="39">
        <v>4</v>
      </c>
      <c r="N86" s="30">
        <f t="shared" si="32"/>
        <v>1.5793513921583089</v>
      </c>
      <c r="O86" s="30">
        <f t="shared" si="33"/>
        <v>7.2875624842119713</v>
      </c>
      <c r="P86" s="67">
        <f t="shared" si="34"/>
        <v>105.41758215395735</v>
      </c>
      <c r="Q86" s="67">
        <f t="shared" si="35"/>
        <v>116.98783932044238</v>
      </c>
      <c r="R86">
        <f t="shared" si="36"/>
        <v>0</v>
      </c>
      <c r="S86">
        <f t="shared" si="37"/>
        <v>87500</v>
      </c>
      <c r="T86" s="68">
        <f t="shared" si="38"/>
        <v>4002.4963246652937</v>
      </c>
      <c r="U86" s="68">
        <f t="shared" si="39"/>
        <v>-1602.4963246652937</v>
      </c>
      <c r="V86">
        <f t="shared" si="40"/>
        <v>0</v>
      </c>
      <c r="W86">
        <f>IF(AND(R86=1,S86&gt;=SC_LT,V86&lt;&gt;0,OR(IF(AND($G$4=$J$4,B86="X"),TRUE,FALSE),IF(AND($G$4=$J$3,A86="X",D86&lt;&gt;$O$4),TRUE,FALSE))),MAX($W$25:W85)+1,0)</f>
        <v>0</v>
      </c>
    </row>
    <row r="87" spans="1:23" x14ac:dyDescent="0.3">
      <c r="A87" s="10"/>
      <c r="B87" s="10" t="s">
        <v>116</v>
      </c>
      <c r="C87" s="39">
        <v>3295307952</v>
      </c>
      <c r="D87">
        <f t="shared" si="23"/>
        <v>50.8</v>
      </c>
      <c r="E87">
        <f t="shared" si="24"/>
        <v>5.3</v>
      </c>
      <c r="F87">
        <f t="shared" si="25"/>
        <v>795</v>
      </c>
      <c r="G87" s="67">
        <f t="shared" si="26"/>
        <v>149</v>
      </c>
      <c r="H87" s="67">
        <f t="shared" si="27"/>
        <v>141</v>
      </c>
      <c r="I87" s="68">
        <f t="shared" si="28"/>
        <v>284451.17487941781</v>
      </c>
      <c r="J87" s="68">
        <f t="shared" si="29"/>
        <v>23970.183086284989</v>
      </c>
      <c r="K87" s="68">
        <f t="shared" si="30"/>
        <v>2017.3842190029632</v>
      </c>
      <c r="L87" s="69">
        <f t="shared" si="31"/>
        <v>18.1915737320681</v>
      </c>
      <c r="M87" s="39">
        <v>4</v>
      </c>
      <c r="N87" s="30">
        <f t="shared" si="32"/>
        <v>1.6901751329799573</v>
      </c>
      <c r="O87" s="30">
        <f t="shared" si="33"/>
        <v>7.3983862250336205</v>
      </c>
      <c r="P87" s="67">
        <f t="shared" si="34"/>
        <v>99.643501161073615</v>
      </c>
      <c r="Q87" s="67">
        <f t="shared" si="35"/>
        <v>110.45510370269882</v>
      </c>
      <c r="R87">
        <f t="shared" si="36"/>
        <v>0</v>
      </c>
      <c r="S87">
        <f t="shared" si="37"/>
        <v>100000</v>
      </c>
      <c r="T87" s="68">
        <f t="shared" si="38"/>
        <v>4200.845787970713</v>
      </c>
      <c r="U87" s="68">
        <f t="shared" si="39"/>
        <v>-1800.845787970713</v>
      </c>
      <c r="V87">
        <f t="shared" si="40"/>
        <v>0</v>
      </c>
      <c r="W87">
        <f>IF(AND(R87=1,S87&gt;=SC_LT,V87&lt;&gt;0,OR(IF(AND($G$4=$J$4,B87="X"),TRUE,FALSE),IF(AND($G$4=$J$3,A87="X",D87&lt;&gt;$O$4),TRUE,FALSE))),MAX($W$25:W86)+1,0)</f>
        <v>0</v>
      </c>
    </row>
    <row r="88" spans="1:23" x14ac:dyDescent="0.3">
      <c r="A88" s="10"/>
      <c r="B88" s="10" t="s">
        <v>116</v>
      </c>
      <c r="C88" s="39">
        <v>3295505412</v>
      </c>
      <c r="D88">
        <f t="shared" si="23"/>
        <v>50.8</v>
      </c>
      <c r="E88">
        <f t="shared" si="24"/>
        <v>5.5</v>
      </c>
      <c r="F88">
        <f t="shared" si="25"/>
        <v>541</v>
      </c>
      <c r="G88" s="67">
        <f t="shared" si="26"/>
        <v>97.36363636363636</v>
      </c>
      <c r="H88" s="67">
        <f t="shared" si="27"/>
        <v>89.36363636363636</v>
      </c>
      <c r="I88" s="68">
        <f t="shared" si="28"/>
        <v>328707.39746922464</v>
      </c>
      <c r="J88" s="68">
        <f t="shared" si="29"/>
        <v>26624.138709932282</v>
      </c>
      <c r="K88" s="68">
        <f t="shared" si="30"/>
        <v>3678.3126878550065</v>
      </c>
      <c r="L88" s="69">
        <f t="shared" si="31"/>
        <v>12.84694786378402</v>
      </c>
      <c r="M88" s="39">
        <v>4</v>
      </c>
      <c r="N88" s="30">
        <f t="shared" si="32"/>
        <v>0.92698281249530545</v>
      </c>
      <c r="O88" s="30">
        <f t="shared" si="33"/>
        <v>6.6351939045489683</v>
      </c>
      <c r="P88" s="67">
        <f t="shared" si="34"/>
        <v>167.39066884505078</v>
      </c>
      <c r="Q88" s="67">
        <f t="shared" si="35"/>
        <v>187.10354972827679</v>
      </c>
      <c r="R88">
        <f t="shared" si="36"/>
        <v>0</v>
      </c>
      <c r="S88">
        <f t="shared" si="37"/>
        <v>18333</v>
      </c>
      <c r="T88" s="68">
        <f t="shared" si="38"/>
        <v>3173.9742659000772</v>
      </c>
      <c r="U88" s="68">
        <f t="shared" si="39"/>
        <v>-773.97426590007717</v>
      </c>
      <c r="V88">
        <f t="shared" si="40"/>
        <v>0</v>
      </c>
      <c r="W88">
        <f>IF(AND(R88=1,S88&gt;=SC_LT,V88&lt;&gt;0,OR(IF(AND($G$4=$J$4,B88="X"),TRUE,FALSE),IF(AND($G$4=$J$3,A88="X",D88&lt;&gt;$O$4),TRUE,FALSE))),MAX($W$25:W87)+1,0)</f>
        <v>0</v>
      </c>
    </row>
    <row r="89" spans="1:23" x14ac:dyDescent="0.3">
      <c r="A89" s="10"/>
      <c r="B89" s="10" t="s">
        <v>116</v>
      </c>
      <c r="C89" s="39">
        <v>3295505932</v>
      </c>
      <c r="D89">
        <f t="shared" si="23"/>
        <v>50.8</v>
      </c>
      <c r="E89">
        <f t="shared" si="24"/>
        <v>5.5</v>
      </c>
      <c r="F89">
        <f t="shared" si="25"/>
        <v>593</v>
      </c>
      <c r="G89" s="67">
        <f t="shared" si="26"/>
        <v>106.81818181818181</v>
      </c>
      <c r="H89" s="67">
        <f t="shared" si="27"/>
        <v>98.818181818181813</v>
      </c>
      <c r="I89" s="68">
        <f t="shared" si="28"/>
        <v>328707.39746922464</v>
      </c>
      <c r="J89" s="68">
        <f t="shared" si="29"/>
        <v>26624.138709932282</v>
      </c>
      <c r="K89" s="68">
        <f t="shared" si="30"/>
        <v>3326.3858069562752</v>
      </c>
      <c r="L89" s="69">
        <f t="shared" si="31"/>
        <v>14.094457273525885</v>
      </c>
      <c r="M89" s="39">
        <v>4</v>
      </c>
      <c r="N89" s="30">
        <f t="shared" si="32"/>
        <v>1.025056273837637</v>
      </c>
      <c r="O89" s="30">
        <f t="shared" si="33"/>
        <v>6.7332673658913</v>
      </c>
      <c r="P89" s="67">
        <f t="shared" si="34"/>
        <v>153.03601729932595</v>
      </c>
      <c r="Q89" s="67">
        <f t="shared" si="35"/>
        <v>170.86284518176492</v>
      </c>
      <c r="R89">
        <f t="shared" si="36"/>
        <v>0</v>
      </c>
      <c r="S89">
        <f t="shared" si="37"/>
        <v>28333</v>
      </c>
      <c r="T89" s="68">
        <f t="shared" si="38"/>
        <v>3384.1318820496085</v>
      </c>
      <c r="U89" s="68">
        <f t="shared" si="39"/>
        <v>-984.13188204960852</v>
      </c>
      <c r="V89">
        <f t="shared" si="40"/>
        <v>0</v>
      </c>
      <c r="W89">
        <f>IF(AND(R89=1,S89&gt;=SC_LT,V89&lt;&gt;0,OR(IF(AND($G$4=$J$4,B89="X"),TRUE,FALSE),IF(AND($G$4=$J$3,A89="X",D89&lt;&gt;$O$4),TRUE,FALSE))),MAX($W$25:W88)+1,0)</f>
        <v>0</v>
      </c>
    </row>
    <row r="90" spans="1:23" x14ac:dyDescent="0.3">
      <c r="A90" s="10"/>
      <c r="B90" s="10" t="s">
        <v>116</v>
      </c>
      <c r="C90" s="39">
        <v>3295506462</v>
      </c>
      <c r="D90">
        <f t="shared" si="23"/>
        <v>50.8</v>
      </c>
      <c r="E90">
        <f t="shared" si="24"/>
        <v>5.5</v>
      </c>
      <c r="F90">
        <f t="shared" si="25"/>
        <v>646</v>
      </c>
      <c r="G90" s="67">
        <f t="shared" si="26"/>
        <v>116.45454545454545</v>
      </c>
      <c r="H90" s="67">
        <f t="shared" si="27"/>
        <v>108.45454545454545</v>
      </c>
      <c r="I90" s="68">
        <f t="shared" si="28"/>
        <v>328707.39746922464</v>
      </c>
      <c r="J90" s="68">
        <f t="shared" si="29"/>
        <v>26624.138709932282</v>
      </c>
      <c r="K90" s="68">
        <f t="shared" si="30"/>
        <v>3030.8309909148961</v>
      </c>
      <c r="L90" s="69">
        <f t="shared" si="31"/>
        <v>15.365957248839711</v>
      </c>
      <c r="M90" s="39">
        <v>4</v>
      </c>
      <c r="N90" s="30">
        <f t="shared" si="32"/>
        <v>1.1250157632827054</v>
      </c>
      <c r="O90" s="30">
        <f t="shared" si="33"/>
        <v>6.8332268553363686</v>
      </c>
      <c r="P90" s="67">
        <f t="shared" si="34"/>
        <v>140.98071085015579</v>
      </c>
      <c r="Q90" s="67">
        <f t="shared" si="35"/>
        <v>157.22359593666977</v>
      </c>
      <c r="R90">
        <f t="shared" si="36"/>
        <v>0</v>
      </c>
      <c r="S90">
        <f t="shared" si="37"/>
        <v>41500</v>
      </c>
      <c r="T90" s="68">
        <f t="shared" si="38"/>
        <v>3598.3309908174001</v>
      </c>
      <c r="U90" s="68">
        <f t="shared" si="39"/>
        <v>-1198.3309908174001</v>
      </c>
      <c r="V90">
        <f t="shared" si="40"/>
        <v>0</v>
      </c>
      <c r="W90">
        <f>IF(AND(R90=1,S90&gt;=SC_LT,V90&lt;&gt;0,OR(IF(AND($G$4=$J$4,B90="X"),TRUE,FALSE),IF(AND($G$4=$J$3,A90="X",D90&lt;&gt;$O$4),TRUE,FALSE))),MAX($W$25:W89)+1,0)</f>
        <v>0</v>
      </c>
    </row>
    <row r="91" spans="1:23" x14ac:dyDescent="0.3">
      <c r="A91" s="10"/>
      <c r="B91" s="10" t="s">
        <v>116</v>
      </c>
      <c r="C91" s="39">
        <v>3295506982</v>
      </c>
      <c r="D91">
        <f t="shared" si="23"/>
        <v>50.8</v>
      </c>
      <c r="E91">
        <f t="shared" si="24"/>
        <v>5.5</v>
      </c>
      <c r="F91">
        <f t="shared" si="25"/>
        <v>698</v>
      </c>
      <c r="G91" s="67">
        <f t="shared" si="26"/>
        <v>125.90909090909091</v>
      </c>
      <c r="H91" s="67">
        <f t="shared" si="27"/>
        <v>117.90909090909091</v>
      </c>
      <c r="I91" s="68">
        <f t="shared" si="28"/>
        <v>328707.39746922464</v>
      </c>
      <c r="J91" s="68">
        <f t="shared" si="29"/>
        <v>26624.138709932282</v>
      </c>
      <c r="K91" s="68">
        <f t="shared" si="30"/>
        <v>2787.8036793843262</v>
      </c>
      <c r="L91" s="69">
        <f t="shared" si="31"/>
        <v>16.613466658581576</v>
      </c>
      <c r="M91" s="39">
        <v>4</v>
      </c>
      <c r="N91" s="30">
        <f t="shared" si="32"/>
        <v>1.2230892246250369</v>
      </c>
      <c r="O91" s="30">
        <f t="shared" si="33"/>
        <v>6.9313003166786995</v>
      </c>
      <c r="P91" s="67">
        <f t="shared" si="34"/>
        <v>131.06793475244274</v>
      </c>
      <c r="Q91" s="67">
        <f t="shared" si="35"/>
        <v>146.00838340950608</v>
      </c>
      <c r="R91">
        <f t="shared" si="36"/>
        <v>0</v>
      </c>
      <c r="S91">
        <f t="shared" si="37"/>
        <v>59375</v>
      </c>
      <c r="T91" s="68">
        <f t="shared" si="38"/>
        <v>3808.4886069669315</v>
      </c>
      <c r="U91" s="68">
        <f t="shared" si="39"/>
        <v>-1408.4886069669315</v>
      </c>
      <c r="V91">
        <f t="shared" si="40"/>
        <v>0</v>
      </c>
      <c r="W91">
        <f>IF(AND(R91=1,S91&gt;=SC_LT,V91&lt;&gt;0,OR(IF(AND($G$4=$J$4,B91="X"),TRUE,FALSE),IF(AND($G$4=$J$3,A91="X",D91&lt;&gt;$O$4),TRUE,FALSE))),MAX($W$25:W90)+1,0)</f>
        <v>0</v>
      </c>
    </row>
    <row r="92" spans="1:23" x14ac:dyDescent="0.3">
      <c r="A92" s="10"/>
      <c r="B92" s="10" t="s">
        <v>116</v>
      </c>
      <c r="C92" s="39">
        <v>3295507512</v>
      </c>
      <c r="D92">
        <f t="shared" si="23"/>
        <v>50.8</v>
      </c>
      <c r="E92">
        <f t="shared" si="24"/>
        <v>5.5</v>
      </c>
      <c r="F92">
        <f t="shared" si="25"/>
        <v>751</v>
      </c>
      <c r="G92" s="67">
        <f t="shared" si="26"/>
        <v>135.54545454545453</v>
      </c>
      <c r="H92" s="67">
        <f t="shared" si="27"/>
        <v>127.54545454545453</v>
      </c>
      <c r="I92" s="68">
        <f t="shared" si="28"/>
        <v>328707.39746922464</v>
      </c>
      <c r="J92" s="68">
        <f t="shared" si="29"/>
        <v>26624.138709932282</v>
      </c>
      <c r="K92" s="68">
        <f t="shared" si="30"/>
        <v>2577.1784548549331</v>
      </c>
      <c r="L92" s="69">
        <f t="shared" si="31"/>
        <v>17.884966633895399</v>
      </c>
      <c r="M92" s="39">
        <v>4</v>
      </c>
      <c r="N92" s="30">
        <f t="shared" si="32"/>
        <v>1.3230487140701055</v>
      </c>
      <c r="O92" s="30">
        <f t="shared" si="33"/>
        <v>7.0312598061237681</v>
      </c>
      <c r="P92" s="67">
        <f t="shared" si="34"/>
        <v>122.47679872686157</v>
      </c>
      <c r="Q92" s="67">
        <f t="shared" si="35"/>
        <v>136.28846081396861</v>
      </c>
      <c r="R92">
        <f t="shared" si="36"/>
        <v>1</v>
      </c>
      <c r="S92">
        <f t="shared" si="37"/>
        <v>75000</v>
      </c>
      <c r="T92" s="68">
        <f t="shared" si="38"/>
        <v>4022.687715734723</v>
      </c>
      <c r="U92" s="68">
        <f t="shared" si="39"/>
        <v>-1622.687715734723</v>
      </c>
      <c r="V92">
        <f t="shared" si="40"/>
        <v>0</v>
      </c>
      <c r="W92">
        <f>IF(AND(R92=1,S92&gt;=SC_LT,V92&lt;&gt;0,OR(IF(AND($G$4=$J$4,B92="X"),TRUE,FALSE),IF(AND($G$4=$J$3,A92="X",D92&lt;&gt;$O$4),TRUE,FALSE))),MAX($W$25:W91)+1,0)</f>
        <v>0</v>
      </c>
    </row>
    <row r="93" spans="1:23" x14ac:dyDescent="0.3">
      <c r="A93" s="10"/>
      <c r="B93" s="10" t="s">
        <v>116</v>
      </c>
      <c r="C93" s="39">
        <v>3295508042</v>
      </c>
      <c r="D93">
        <f t="shared" si="23"/>
        <v>50.8</v>
      </c>
      <c r="E93">
        <f t="shared" si="24"/>
        <v>5.5</v>
      </c>
      <c r="F93">
        <f t="shared" si="25"/>
        <v>804</v>
      </c>
      <c r="G93" s="67">
        <f t="shared" si="26"/>
        <v>145.18181818181819</v>
      </c>
      <c r="H93" s="67">
        <f t="shared" si="27"/>
        <v>137.18181818181819</v>
      </c>
      <c r="I93" s="68">
        <f t="shared" si="28"/>
        <v>328707.39746922464</v>
      </c>
      <c r="J93" s="68">
        <f t="shared" si="29"/>
        <v>26624.138709932282</v>
      </c>
      <c r="K93" s="68">
        <f t="shared" si="30"/>
        <v>2396.1440504714851</v>
      </c>
      <c r="L93" s="69">
        <f t="shared" si="31"/>
        <v>19.156466609209229</v>
      </c>
      <c r="M93" s="39">
        <v>4</v>
      </c>
      <c r="N93" s="30">
        <f t="shared" si="32"/>
        <v>1.4230082035151739</v>
      </c>
      <c r="O93" s="30">
        <f t="shared" si="33"/>
        <v>7.1312192955688367</v>
      </c>
      <c r="P93" s="67">
        <f t="shared" si="34"/>
        <v>115.09263476054031</v>
      </c>
      <c r="Q93" s="67">
        <f t="shared" si="35"/>
        <v>127.93409394424552</v>
      </c>
      <c r="R93">
        <f t="shared" si="36"/>
        <v>1</v>
      </c>
      <c r="S93">
        <f t="shared" si="37"/>
        <v>90625</v>
      </c>
      <c r="T93" s="68">
        <f t="shared" si="38"/>
        <v>4236.8868245025142</v>
      </c>
      <c r="U93" s="68">
        <f t="shared" si="39"/>
        <v>-1836.8868245025142</v>
      </c>
      <c r="V93">
        <f t="shared" si="40"/>
        <v>0</v>
      </c>
      <c r="W93">
        <f>IF(AND(R93=1,S93&gt;=SC_LT,V93&lt;&gt;0,OR(IF(AND($G$4=$J$4,B93="X"),TRUE,FALSE),IF(AND($G$4=$J$3,A93="X",D93&lt;&gt;$O$4),TRUE,FALSE))),MAX($W$25:W92)+1,0)</f>
        <v>0</v>
      </c>
    </row>
    <row r="94" spans="1:23" x14ac:dyDescent="0.3">
      <c r="A94" s="10"/>
      <c r="B94" s="10" t="s">
        <v>116</v>
      </c>
      <c r="C94" s="39">
        <v>3295508572</v>
      </c>
      <c r="D94">
        <f t="shared" si="23"/>
        <v>50.8</v>
      </c>
      <c r="E94">
        <f t="shared" si="24"/>
        <v>5.5</v>
      </c>
      <c r="F94">
        <f t="shared" si="25"/>
        <v>857</v>
      </c>
      <c r="G94" s="67">
        <f t="shared" si="26"/>
        <v>154.81818181818181</v>
      </c>
      <c r="H94" s="67">
        <f t="shared" si="27"/>
        <v>146.81818181818181</v>
      </c>
      <c r="I94" s="68">
        <f t="shared" si="28"/>
        <v>328707.39746922464</v>
      </c>
      <c r="J94" s="68">
        <f t="shared" si="29"/>
        <v>26624.138709932282</v>
      </c>
      <c r="K94" s="68">
        <f t="shared" si="30"/>
        <v>2238.8739146510657</v>
      </c>
      <c r="L94" s="69">
        <f t="shared" si="31"/>
        <v>20.427966584523048</v>
      </c>
      <c r="M94" s="39">
        <v>4</v>
      </c>
      <c r="N94" s="30">
        <f t="shared" si="32"/>
        <v>1.5229676929602425</v>
      </c>
      <c r="O94" s="30">
        <f t="shared" si="33"/>
        <v>7.2311787850139053</v>
      </c>
      <c r="P94" s="67">
        <f t="shared" si="34"/>
        <v>108.67778519722842</v>
      </c>
      <c r="Q94" s="67">
        <f t="shared" si="35"/>
        <v>120.67639938187931</v>
      </c>
      <c r="R94">
        <f t="shared" si="36"/>
        <v>0</v>
      </c>
      <c r="S94">
        <f t="shared" si="37"/>
        <v>100000</v>
      </c>
      <c r="T94" s="68">
        <f t="shared" si="38"/>
        <v>4451.0859332703058</v>
      </c>
      <c r="U94" s="68">
        <f t="shared" si="39"/>
        <v>-2051.0859332703058</v>
      </c>
      <c r="V94">
        <f t="shared" si="40"/>
        <v>0</v>
      </c>
      <c r="W94">
        <f>IF(AND(R94=1,S94&gt;=SC_LT,V94&lt;&gt;0,OR(IF(AND($G$4=$J$4,B94="X"),TRUE,FALSE),IF(AND($G$4=$J$3,A94="X",D94&lt;&gt;$O$4),TRUE,FALSE))),MAX($W$25:W93)+1,0)</f>
        <v>0</v>
      </c>
    </row>
    <row r="95" spans="1:23" x14ac:dyDescent="0.3">
      <c r="A95" s="10"/>
      <c r="B95" s="10" t="s">
        <v>116</v>
      </c>
      <c r="C95" s="39">
        <v>3296006482</v>
      </c>
      <c r="D95">
        <f t="shared" si="23"/>
        <v>50.8</v>
      </c>
      <c r="E95">
        <f t="shared" si="24"/>
        <v>6</v>
      </c>
      <c r="F95">
        <f t="shared" si="25"/>
        <v>648</v>
      </c>
      <c r="G95" s="67">
        <f t="shared" si="26"/>
        <v>107</v>
      </c>
      <c r="H95" s="67">
        <f t="shared" si="27"/>
        <v>99</v>
      </c>
      <c r="I95" s="68">
        <f t="shared" si="28"/>
        <v>461449.07586090924</v>
      </c>
      <c r="J95" s="68">
        <f t="shared" si="29"/>
        <v>33717.143154652455</v>
      </c>
      <c r="K95" s="68">
        <f t="shared" si="30"/>
        <v>4661.1017763728205</v>
      </c>
      <c r="L95" s="69">
        <f t="shared" si="31"/>
        <v>16.951339278297944</v>
      </c>
      <c r="M95" s="39">
        <v>4</v>
      </c>
      <c r="N95" s="30">
        <f t="shared" si="32"/>
        <v>0.73152932594370179</v>
      </c>
      <c r="O95" s="30">
        <f t="shared" si="33"/>
        <v>6.4397404179973643</v>
      </c>
      <c r="P95" s="67">
        <f t="shared" si="34"/>
        <v>207.47739047480118</v>
      </c>
      <c r="Q95" s="67">
        <f t="shared" si="35"/>
        <v>232.4572526832564</v>
      </c>
      <c r="R95">
        <f t="shared" si="36"/>
        <v>0</v>
      </c>
      <c r="S95">
        <f t="shared" si="37"/>
        <v>21250</v>
      </c>
      <c r="T95" s="68">
        <f t="shared" si="38"/>
        <v>3610.5537700319369</v>
      </c>
      <c r="U95" s="68">
        <f t="shared" si="39"/>
        <v>-1210.5537700319369</v>
      </c>
      <c r="V95">
        <f t="shared" si="40"/>
        <v>0</v>
      </c>
      <c r="W95">
        <f>IF(AND(R95=1,S95&gt;=SC_LT,V95&lt;&gt;0,OR(IF(AND($G$4=$J$4,B95="X"),TRUE,FALSE),IF(AND($G$4=$J$3,A95="X",D95&lt;&gt;$O$4),TRUE,FALSE))),MAX($W$25:W94)+1,0)</f>
        <v>0</v>
      </c>
    </row>
    <row r="96" spans="1:23" x14ac:dyDescent="0.3">
      <c r="A96" s="10"/>
      <c r="B96" s="10" t="s">
        <v>116</v>
      </c>
      <c r="C96" s="39">
        <v>3296007112</v>
      </c>
      <c r="D96">
        <f t="shared" si="23"/>
        <v>50.8</v>
      </c>
      <c r="E96">
        <f t="shared" si="24"/>
        <v>6</v>
      </c>
      <c r="F96">
        <f t="shared" si="25"/>
        <v>711</v>
      </c>
      <c r="G96" s="67">
        <f t="shared" si="26"/>
        <v>117.5</v>
      </c>
      <c r="H96" s="67">
        <f t="shared" si="27"/>
        <v>109.5</v>
      </c>
      <c r="I96" s="68">
        <f t="shared" si="28"/>
        <v>461449.07586090924</v>
      </c>
      <c r="J96" s="68">
        <f t="shared" si="29"/>
        <v>33717.143154652455</v>
      </c>
      <c r="K96" s="68">
        <f t="shared" si="30"/>
        <v>4214.1468115151529</v>
      </c>
      <c r="L96" s="69">
        <f t="shared" si="31"/>
        <v>18.614788459813166</v>
      </c>
      <c r="M96" s="39">
        <v>4</v>
      </c>
      <c r="N96" s="30">
        <f t="shared" si="32"/>
        <v>0.80911576960439746</v>
      </c>
      <c r="O96" s="30">
        <f t="shared" si="33"/>
        <v>6.5173268616580602</v>
      </c>
      <c r="P96" s="67">
        <f t="shared" si="34"/>
        <v>189.24666379436408</v>
      </c>
      <c r="Q96" s="67">
        <f t="shared" si="35"/>
        <v>211.8311967499537</v>
      </c>
      <c r="R96">
        <f t="shared" si="36"/>
        <v>0</v>
      </c>
      <c r="S96">
        <f t="shared" si="37"/>
        <v>33333</v>
      </c>
      <c r="T96" s="68">
        <f t="shared" si="38"/>
        <v>3864.4158446797933</v>
      </c>
      <c r="U96" s="68">
        <f t="shared" si="39"/>
        <v>-1464.4158446797933</v>
      </c>
      <c r="V96">
        <f t="shared" si="40"/>
        <v>0</v>
      </c>
      <c r="W96">
        <f>IF(AND(R96=1,S96&gt;=SC_LT,V96&lt;&gt;0,OR(IF(AND($G$4=$J$4,B96="X"),TRUE,FALSE),IF(AND($G$4=$J$3,A96="X",D96&lt;&gt;$O$4),TRUE,FALSE))),MAX($W$25:W95)+1,0)</f>
        <v>0</v>
      </c>
    </row>
    <row r="97" spans="1:23" x14ac:dyDescent="0.3">
      <c r="A97" s="10"/>
      <c r="B97" s="10" t="s">
        <v>116</v>
      </c>
      <c r="C97" s="39">
        <v>3296007752</v>
      </c>
      <c r="D97">
        <f t="shared" si="23"/>
        <v>50.8</v>
      </c>
      <c r="E97">
        <f t="shared" si="24"/>
        <v>6</v>
      </c>
      <c r="F97">
        <f t="shared" si="25"/>
        <v>775</v>
      </c>
      <c r="G97" s="67">
        <f t="shared" si="26"/>
        <v>128.16666666666666</v>
      </c>
      <c r="H97" s="67">
        <f t="shared" si="27"/>
        <v>120.16666666666666</v>
      </c>
      <c r="I97" s="68">
        <f t="shared" si="28"/>
        <v>461449.07586090924</v>
      </c>
      <c r="J97" s="68">
        <f t="shared" si="29"/>
        <v>33717.143154652455</v>
      </c>
      <c r="K97" s="68">
        <f t="shared" si="30"/>
        <v>3840.0755272752508</v>
      </c>
      <c r="L97" s="69">
        <f t="shared" si="31"/>
        <v>20.304641596590532</v>
      </c>
      <c r="M97" s="39">
        <v>4</v>
      </c>
      <c r="N97" s="30">
        <f t="shared" si="32"/>
        <v>0.88793374411685</v>
      </c>
      <c r="O97" s="30">
        <f t="shared" si="33"/>
        <v>6.5961448361705131</v>
      </c>
      <c r="P97" s="67">
        <f t="shared" si="34"/>
        <v>173.98877009550014</v>
      </c>
      <c r="Q97" s="67">
        <f t="shared" si="35"/>
        <v>194.56857335738971</v>
      </c>
      <c r="R97">
        <f t="shared" si="36"/>
        <v>0</v>
      </c>
      <c r="S97">
        <f t="shared" si="37"/>
        <v>53125</v>
      </c>
      <c r="T97" s="68">
        <f t="shared" si="38"/>
        <v>4122.307476068092</v>
      </c>
      <c r="U97" s="68">
        <f t="shared" si="39"/>
        <v>-1722.307476068092</v>
      </c>
      <c r="V97">
        <f t="shared" si="40"/>
        <v>0</v>
      </c>
      <c r="W97">
        <f>IF(AND(R97=1,S97&gt;=SC_LT,V97&lt;&gt;0,OR(IF(AND($G$4=$J$4,B97="X"),TRUE,FALSE),IF(AND($G$4=$J$3,A97="X",D97&lt;&gt;$O$4),TRUE,FALSE))),MAX($W$25:W96)+1,0)</f>
        <v>0</v>
      </c>
    </row>
    <row r="98" spans="1:23" x14ac:dyDescent="0.3">
      <c r="A98" s="10"/>
      <c r="B98" s="10" t="s">
        <v>116</v>
      </c>
      <c r="C98" s="39">
        <v>3296008382</v>
      </c>
      <c r="D98">
        <f t="shared" si="23"/>
        <v>50.8</v>
      </c>
      <c r="E98">
        <f t="shared" si="24"/>
        <v>6</v>
      </c>
      <c r="F98">
        <f t="shared" si="25"/>
        <v>838</v>
      </c>
      <c r="G98" s="67">
        <f t="shared" si="26"/>
        <v>138.66666666666666</v>
      </c>
      <c r="H98" s="67">
        <f t="shared" si="27"/>
        <v>130.66666666666666</v>
      </c>
      <c r="I98" s="68">
        <f t="shared" si="28"/>
        <v>461449.07586090924</v>
      </c>
      <c r="J98" s="68">
        <f t="shared" si="29"/>
        <v>33717.143154652455</v>
      </c>
      <c r="K98" s="68">
        <f t="shared" si="30"/>
        <v>3531.4980295477749</v>
      </c>
      <c r="L98" s="69">
        <f t="shared" si="31"/>
        <v>21.968090778105747</v>
      </c>
      <c r="M98" s="39">
        <v>4</v>
      </c>
      <c r="N98" s="30">
        <f t="shared" si="32"/>
        <v>0.96552018777754578</v>
      </c>
      <c r="O98" s="30">
        <f t="shared" si="33"/>
        <v>6.673731279831209</v>
      </c>
      <c r="P98" s="67">
        <f t="shared" si="34"/>
        <v>161.40228496137865</v>
      </c>
      <c r="Q98" s="67">
        <f t="shared" si="35"/>
        <v>180.32835403258068</v>
      </c>
      <c r="R98">
        <f t="shared" si="36"/>
        <v>0</v>
      </c>
      <c r="S98">
        <f t="shared" si="37"/>
        <v>68750</v>
      </c>
      <c r="T98" s="68">
        <f t="shared" si="38"/>
        <v>4376.1695507159493</v>
      </c>
      <c r="U98" s="68">
        <f t="shared" si="39"/>
        <v>-1976.1695507159493</v>
      </c>
      <c r="V98">
        <f t="shared" si="40"/>
        <v>0</v>
      </c>
      <c r="W98">
        <f>IF(AND(R98=1,S98&gt;=SC_LT,V98&lt;&gt;0,OR(IF(AND($G$4=$J$4,B98="X"),TRUE,FALSE),IF(AND($G$4=$J$3,A98="X",D98&lt;&gt;$O$4),TRUE,FALSE))),MAX($W$25:W97)+1,0)</f>
        <v>0</v>
      </c>
    </row>
    <row r="99" spans="1:23" x14ac:dyDescent="0.3">
      <c r="A99" s="10"/>
      <c r="B99" s="10" t="s">
        <v>116</v>
      </c>
      <c r="C99" s="39">
        <v>3296009022</v>
      </c>
      <c r="D99">
        <f t="shared" si="23"/>
        <v>50.8</v>
      </c>
      <c r="E99">
        <f t="shared" si="24"/>
        <v>6</v>
      </c>
      <c r="F99">
        <f t="shared" si="25"/>
        <v>902</v>
      </c>
      <c r="G99" s="67">
        <f t="shared" si="26"/>
        <v>149.33333333333334</v>
      </c>
      <c r="H99" s="67">
        <f t="shared" si="27"/>
        <v>141.33333333333334</v>
      </c>
      <c r="I99" s="68">
        <f t="shared" si="28"/>
        <v>461449.07586090924</v>
      </c>
      <c r="J99" s="68">
        <f t="shared" si="29"/>
        <v>33717.143154652455</v>
      </c>
      <c r="K99" s="68">
        <f t="shared" si="30"/>
        <v>3264.9698763743577</v>
      </c>
      <c r="L99" s="69">
        <f t="shared" si="31"/>
        <v>23.657943914883116</v>
      </c>
      <c r="M99" s="39">
        <v>4</v>
      </c>
      <c r="N99" s="30">
        <f t="shared" si="32"/>
        <v>1.0443381622899985</v>
      </c>
      <c r="O99" s="30">
        <f t="shared" si="33"/>
        <v>6.7525492543436609</v>
      </c>
      <c r="P99" s="67">
        <f t="shared" si="34"/>
        <v>150.53093931094247</v>
      </c>
      <c r="Q99" s="67">
        <f t="shared" si="35"/>
        <v>168.02862581073305</v>
      </c>
      <c r="R99">
        <f t="shared" si="36"/>
        <v>0</v>
      </c>
      <c r="S99">
        <f t="shared" si="37"/>
        <v>84375</v>
      </c>
      <c r="T99" s="68">
        <f t="shared" si="38"/>
        <v>4634.0611821042476</v>
      </c>
      <c r="U99" s="68">
        <f t="shared" si="39"/>
        <v>-2234.0611821042476</v>
      </c>
      <c r="V99">
        <f t="shared" si="40"/>
        <v>0</v>
      </c>
      <c r="W99">
        <f>IF(AND(R99=1,S99&gt;=SC_LT,V99&lt;&gt;0,OR(IF(AND($G$4=$J$4,B99="X"),TRUE,FALSE),IF(AND($G$4=$J$3,A99="X",D99&lt;&gt;$O$4),TRUE,FALSE))),MAX($W$25:W98)+1,0)</f>
        <v>0</v>
      </c>
    </row>
    <row r="100" spans="1:23" x14ac:dyDescent="0.3">
      <c r="A100" s="10"/>
      <c r="B100" s="10" t="s">
        <v>116</v>
      </c>
      <c r="C100" s="39">
        <v>3296009662</v>
      </c>
      <c r="D100">
        <f t="shared" si="23"/>
        <v>50.8</v>
      </c>
      <c r="E100">
        <f t="shared" si="24"/>
        <v>6</v>
      </c>
      <c r="F100">
        <f t="shared" si="25"/>
        <v>966</v>
      </c>
      <c r="G100" s="67">
        <f t="shared" si="26"/>
        <v>160</v>
      </c>
      <c r="H100" s="67">
        <f t="shared" si="27"/>
        <v>152</v>
      </c>
      <c r="I100" s="68">
        <f t="shared" si="28"/>
        <v>461449.07586090924</v>
      </c>
      <c r="J100" s="68">
        <f t="shared" si="29"/>
        <v>33717.143154652455</v>
      </c>
      <c r="K100" s="68">
        <f t="shared" si="30"/>
        <v>3035.8491832954555</v>
      </c>
      <c r="L100" s="69">
        <f t="shared" si="31"/>
        <v>25.347797051660478</v>
      </c>
      <c r="M100" s="39">
        <v>4</v>
      </c>
      <c r="N100" s="30">
        <f t="shared" si="32"/>
        <v>1.1231561368024512</v>
      </c>
      <c r="O100" s="30">
        <f t="shared" si="33"/>
        <v>6.8313672288561138</v>
      </c>
      <c r="P100" s="67">
        <f t="shared" si="34"/>
        <v>141.18539655881318</v>
      </c>
      <c r="Q100" s="67">
        <f t="shared" si="35"/>
        <v>157.45517523405704</v>
      </c>
      <c r="R100">
        <f t="shared" si="36"/>
        <v>0</v>
      </c>
      <c r="S100">
        <f t="shared" si="37"/>
        <v>93750</v>
      </c>
      <c r="T100" s="68">
        <f t="shared" si="38"/>
        <v>4891.9528134925467</v>
      </c>
      <c r="U100" s="68">
        <f t="shared" si="39"/>
        <v>-2491.9528134925467</v>
      </c>
      <c r="V100">
        <f t="shared" si="40"/>
        <v>0</v>
      </c>
      <c r="W100">
        <f>IF(AND(R100=1,S100&gt;=SC_LT,V100&lt;&gt;0,OR(IF(AND($G$4=$J$4,B100="X"),TRUE,FALSE),IF(AND($G$4=$J$3,A100="X",D100&lt;&gt;$O$4),TRUE,FALSE))),MAX($W$25:W99)+1,0)</f>
        <v>0</v>
      </c>
    </row>
    <row r="101" spans="1:23" x14ac:dyDescent="0.3">
      <c r="A101" s="10"/>
      <c r="B101" s="10" t="s">
        <v>116</v>
      </c>
      <c r="C101" s="39">
        <v>3296010302</v>
      </c>
      <c r="D101">
        <f t="shared" si="23"/>
        <v>50.8</v>
      </c>
      <c r="E101">
        <f t="shared" si="24"/>
        <v>6</v>
      </c>
      <c r="F101">
        <f t="shared" si="25"/>
        <v>1030</v>
      </c>
      <c r="G101" s="67">
        <f t="shared" si="26"/>
        <v>170.66666666666666</v>
      </c>
      <c r="H101" s="67">
        <f t="shared" si="27"/>
        <v>162.66666666666666</v>
      </c>
      <c r="I101" s="68">
        <f t="shared" si="28"/>
        <v>461449.07586090924</v>
      </c>
      <c r="J101" s="68">
        <f t="shared" si="29"/>
        <v>33717.143154652455</v>
      </c>
      <c r="K101" s="68">
        <f t="shared" si="30"/>
        <v>2836.777105702311</v>
      </c>
      <c r="L101" s="69">
        <f t="shared" si="31"/>
        <v>27.037650188437844</v>
      </c>
      <c r="M101" s="39">
        <v>4</v>
      </c>
      <c r="N101" s="30">
        <f t="shared" si="32"/>
        <v>1.2019741113149038</v>
      </c>
      <c r="O101" s="30">
        <f t="shared" si="33"/>
        <v>6.9101852033685667</v>
      </c>
      <c r="P101" s="67">
        <f t="shared" si="34"/>
        <v>133.06549875778279</v>
      </c>
      <c r="Q101" s="67">
        <f t="shared" si="35"/>
        <v>148.26840670022378</v>
      </c>
      <c r="R101">
        <f t="shared" si="36"/>
        <v>0</v>
      </c>
      <c r="S101">
        <f t="shared" si="37"/>
        <v>128571</v>
      </c>
      <c r="T101" s="68">
        <f t="shared" si="38"/>
        <v>5149.8444448808459</v>
      </c>
      <c r="U101" s="68">
        <f t="shared" si="39"/>
        <v>-2749.8444448808459</v>
      </c>
      <c r="V101">
        <f t="shared" si="40"/>
        <v>0</v>
      </c>
      <c r="W101">
        <f>IF(AND(R101=1,S101&gt;=SC_LT,V101&lt;&gt;0,OR(IF(AND($G$4=$J$4,B101="X"),TRUE,FALSE),IF(AND($G$4=$J$3,A101="X",D101&lt;&gt;$O$4),TRUE,FALSE))),MAX($W$25:W100)+1,0)</f>
        <v>0</v>
      </c>
    </row>
    <row r="102" spans="1:23" x14ac:dyDescent="0.3">
      <c r="A102" s="10"/>
      <c r="B102" s="10" t="s">
        <v>116</v>
      </c>
      <c r="C102" s="39">
        <v>3296010942</v>
      </c>
      <c r="D102">
        <f t="shared" si="23"/>
        <v>50.8</v>
      </c>
      <c r="E102">
        <f t="shared" si="24"/>
        <v>6</v>
      </c>
      <c r="F102">
        <f t="shared" si="25"/>
        <v>1094</v>
      </c>
      <c r="G102" s="67">
        <f t="shared" si="26"/>
        <v>181.33333333333334</v>
      </c>
      <c r="H102" s="67">
        <f t="shared" si="27"/>
        <v>173.33333333333334</v>
      </c>
      <c r="I102" s="68">
        <f t="shared" si="28"/>
        <v>461449.07586090924</v>
      </c>
      <c r="J102" s="68">
        <f t="shared" si="29"/>
        <v>33717.143154652455</v>
      </c>
      <c r="K102" s="68">
        <f t="shared" si="30"/>
        <v>2662.2062068898608</v>
      </c>
      <c r="L102" s="69">
        <f t="shared" si="31"/>
        <v>28.727503325215213</v>
      </c>
      <c r="M102" s="39">
        <v>4</v>
      </c>
      <c r="N102" s="30">
        <f t="shared" si="32"/>
        <v>1.2807920858273567</v>
      </c>
      <c r="O102" s="30">
        <f t="shared" si="33"/>
        <v>6.9890031778810195</v>
      </c>
      <c r="P102" s="67">
        <f t="shared" si="34"/>
        <v>125.94497299380228</v>
      </c>
      <c r="Q102" s="67">
        <f t="shared" si="35"/>
        <v>140.21231737055459</v>
      </c>
      <c r="R102">
        <f t="shared" si="36"/>
        <v>0</v>
      </c>
      <c r="S102">
        <f t="shared" si="37"/>
        <v>171429</v>
      </c>
      <c r="T102" s="68">
        <f t="shared" si="38"/>
        <v>5407.7360762691442</v>
      </c>
      <c r="U102" s="68">
        <f t="shared" si="39"/>
        <v>-3007.7360762691442</v>
      </c>
      <c r="V102">
        <f t="shared" si="40"/>
        <v>0</v>
      </c>
      <c r="W102">
        <f>IF(AND(R102=1,S102&gt;=SC_LT,V102&lt;&gt;0,OR(IF(AND($G$4=$J$4,B102="X"),TRUE,FALSE),IF(AND($G$4=$J$3,A102="X",D102&lt;&gt;$O$4),TRUE,FALSE))),MAX($W$25:W101)+1,0)</f>
        <v>0</v>
      </c>
    </row>
    <row r="103" spans="1:23" x14ac:dyDescent="0.3">
      <c r="A103" s="10"/>
      <c r="B103" s="10" t="s">
        <v>116</v>
      </c>
      <c r="C103" s="74">
        <v>3396008112</v>
      </c>
      <c r="D103">
        <f t="shared" si="23"/>
        <v>66.674999999999997</v>
      </c>
      <c r="E103">
        <f t="shared" si="24"/>
        <v>6</v>
      </c>
      <c r="F103">
        <f t="shared" si="25"/>
        <v>811</v>
      </c>
      <c r="G103" s="67">
        <f t="shared" si="26"/>
        <v>134.16666666666666</v>
      </c>
      <c r="H103" s="67">
        <f t="shared" si="27"/>
        <v>127.16666666666666</v>
      </c>
      <c r="I103" s="68">
        <f t="shared" si="28"/>
        <v>360650.94611489022</v>
      </c>
      <c r="J103" s="68">
        <f t="shared" si="29"/>
        <v>33717.143154652455</v>
      </c>
      <c r="K103" s="68">
        <f t="shared" si="30"/>
        <v>2836.0493796714827</v>
      </c>
      <c r="L103" s="69">
        <f t="shared" si="31"/>
        <v>27.195783383531168</v>
      </c>
      <c r="M103" s="39">
        <v>4</v>
      </c>
      <c r="N103" s="30">
        <f t="shared" si="32"/>
        <v>1.202282536074873</v>
      </c>
      <c r="O103" s="30">
        <f t="shared" si="33"/>
        <v>6.9104936281285356</v>
      </c>
      <c r="P103" s="67">
        <f t="shared" si="34"/>
        <v>133.03581573508609</v>
      </c>
      <c r="Q103" s="67">
        <f t="shared" si="35"/>
        <v>148.23482363482304</v>
      </c>
      <c r="R103">
        <f t="shared" si="36"/>
        <v>0</v>
      </c>
      <c r="S103">
        <f t="shared" si="37"/>
        <v>128571</v>
      </c>
      <c r="T103" s="68">
        <f t="shared" si="38"/>
        <v>4273.8518470750851</v>
      </c>
      <c r="U103" s="68">
        <f t="shared" si="39"/>
        <v>-1873.8518470750851</v>
      </c>
      <c r="V103">
        <f t="shared" si="40"/>
        <v>0</v>
      </c>
      <c r="W103">
        <f>IF(AND(R103=1,S103&gt;=SC_LT,V103&lt;&gt;0,OR(IF(AND($G$4=$J$4,B103="X"),TRUE,FALSE),IF(AND($G$4=$J$3,A103="X",D103&lt;&gt;$O$4),TRUE,FALSE))),MAX($W$25:W102)+1,0)</f>
        <v>0</v>
      </c>
    </row>
    <row r="104" spans="1:23" x14ac:dyDescent="0.3">
      <c r="A104" s="10"/>
      <c r="B104" s="10" t="s">
        <v>116</v>
      </c>
      <c r="C104" s="74">
        <v>3396008612</v>
      </c>
      <c r="D104">
        <f t="shared" si="23"/>
        <v>66.674999999999997</v>
      </c>
      <c r="E104">
        <f t="shared" si="24"/>
        <v>6</v>
      </c>
      <c r="F104">
        <f t="shared" si="25"/>
        <v>861</v>
      </c>
      <c r="G104" s="67">
        <f t="shared" si="26"/>
        <v>142.5</v>
      </c>
      <c r="H104" s="67">
        <f t="shared" si="27"/>
        <v>135.5</v>
      </c>
      <c r="I104" s="68">
        <f t="shared" si="28"/>
        <v>360650.94611489022</v>
      </c>
      <c r="J104" s="68">
        <f t="shared" si="29"/>
        <v>33717.143154652455</v>
      </c>
      <c r="K104" s="68">
        <f t="shared" si="30"/>
        <v>2661.6305986338762</v>
      </c>
      <c r="L104" s="69">
        <f t="shared" si="31"/>
        <v>28.884962475675966</v>
      </c>
      <c r="M104" s="39">
        <v>4</v>
      </c>
      <c r="N104" s="30">
        <f t="shared" si="32"/>
        <v>1.2810690718595958</v>
      </c>
      <c r="O104" s="30">
        <f t="shared" si="33"/>
        <v>6.9892801639132589</v>
      </c>
      <c r="P104" s="67">
        <f t="shared" si="34"/>
        <v>125.92149466239321</v>
      </c>
      <c r="Q104" s="67">
        <f t="shared" si="35"/>
        <v>140.18575422881301</v>
      </c>
      <c r="R104">
        <f t="shared" si="36"/>
        <v>0</v>
      </c>
      <c r="S104">
        <f t="shared" si="37"/>
        <v>171429</v>
      </c>
      <c r="T104" s="68">
        <f t="shared" si="38"/>
        <v>4475.7427239339177</v>
      </c>
      <c r="U104" s="68">
        <f t="shared" si="39"/>
        <v>-2075.7427239339177</v>
      </c>
      <c r="V104">
        <f t="shared" si="40"/>
        <v>0</v>
      </c>
      <c r="W104">
        <f>IF(AND(R104=1,S104&gt;=SC_LT,V104&lt;&gt;0,OR(IF(AND($G$4=$J$4,B104="X"),TRUE,FALSE),IF(AND($G$4=$J$3,A104="X",D104&lt;&gt;$O$4),TRUE,FALSE))),MAX($W$25:W103)+1,0)</f>
        <v>0</v>
      </c>
    </row>
    <row r="105" spans="1:23" x14ac:dyDescent="0.3">
      <c r="A105" s="10"/>
      <c r="B105" s="10" t="s">
        <v>116</v>
      </c>
      <c r="C105" s="74">
        <v>3396009112</v>
      </c>
      <c r="D105">
        <f t="shared" si="23"/>
        <v>66.674999999999997</v>
      </c>
      <c r="E105">
        <f t="shared" si="24"/>
        <v>6</v>
      </c>
      <c r="F105">
        <f t="shared" si="25"/>
        <v>911</v>
      </c>
      <c r="G105" s="67">
        <f t="shared" si="26"/>
        <v>150.83333333333334</v>
      </c>
      <c r="H105" s="67">
        <f t="shared" si="27"/>
        <v>143.83333333333334</v>
      </c>
      <c r="I105" s="68">
        <f t="shared" si="28"/>
        <v>360650.94611489022</v>
      </c>
      <c r="J105" s="68">
        <f t="shared" si="29"/>
        <v>33717.143154652455</v>
      </c>
      <c r="K105" s="68">
        <f t="shared" si="30"/>
        <v>2507.4225685855636</v>
      </c>
      <c r="L105" s="69">
        <f t="shared" si="31"/>
        <v>30.57414156782076</v>
      </c>
      <c r="M105" s="39">
        <v>4</v>
      </c>
      <c r="N105" s="30">
        <f t="shared" si="32"/>
        <v>1.3598556076443189</v>
      </c>
      <c r="O105" s="30">
        <f t="shared" si="33"/>
        <v>7.0680666996979813</v>
      </c>
      <c r="P105" s="67">
        <f t="shared" si="34"/>
        <v>119.63154451353492</v>
      </c>
      <c r="Q105" s="67">
        <f t="shared" si="35"/>
        <v>133.06936957436844</v>
      </c>
      <c r="R105">
        <f t="shared" si="36"/>
        <v>1</v>
      </c>
      <c r="S105">
        <f t="shared" si="37"/>
        <v>200000</v>
      </c>
      <c r="T105" s="68">
        <f t="shared" si="38"/>
        <v>4677.6336007927512</v>
      </c>
      <c r="U105" s="68">
        <f t="shared" si="39"/>
        <v>-2277.6336007927512</v>
      </c>
      <c r="V105">
        <f t="shared" si="40"/>
        <v>0</v>
      </c>
      <c r="W105">
        <f>IF(AND(R105=1,S105&gt;=SC_LT,V105&lt;&gt;0,OR(IF(AND($G$4=$J$4,B105="X"),TRUE,FALSE),IF(AND($G$4=$J$3,A105="X",D105&lt;&gt;$O$4),TRUE,FALSE))),MAX($W$25:W104)+1,0)</f>
        <v>0</v>
      </c>
    </row>
    <row r="106" spans="1:23" x14ac:dyDescent="0.3">
      <c r="A106" s="10"/>
      <c r="B106" s="10" t="s">
        <v>116</v>
      </c>
      <c r="C106" s="74">
        <v>3396009612</v>
      </c>
      <c r="D106">
        <f t="shared" si="23"/>
        <v>66.674999999999997</v>
      </c>
      <c r="E106">
        <f t="shared" si="24"/>
        <v>6</v>
      </c>
      <c r="F106">
        <f t="shared" si="25"/>
        <v>961</v>
      </c>
      <c r="G106" s="67">
        <f t="shared" si="26"/>
        <v>159.16666666666666</v>
      </c>
      <c r="H106" s="67">
        <f t="shared" si="27"/>
        <v>152.16666666666666</v>
      </c>
      <c r="I106" s="68">
        <f t="shared" si="28"/>
        <v>360650.94611489022</v>
      </c>
      <c r="J106" s="68">
        <f t="shared" si="29"/>
        <v>33717.143154652455</v>
      </c>
      <c r="K106" s="68">
        <f t="shared" si="30"/>
        <v>2370.1047937451713</v>
      </c>
      <c r="L106" s="69">
        <f t="shared" si="31"/>
        <v>32.263320659965551</v>
      </c>
      <c r="M106" s="39">
        <v>4</v>
      </c>
      <c r="N106" s="30">
        <f t="shared" si="32"/>
        <v>1.438642143429042</v>
      </c>
      <c r="O106" s="30">
        <f t="shared" si="33"/>
        <v>7.1468532354827046</v>
      </c>
      <c r="P106" s="67">
        <f t="shared" si="34"/>
        <v>114.03052647298537</v>
      </c>
      <c r="Q106" s="67">
        <f t="shared" si="35"/>
        <v>126.73243559401418</v>
      </c>
      <c r="R106">
        <f t="shared" si="36"/>
        <v>1</v>
      </c>
      <c r="S106">
        <f t="shared" si="37"/>
        <v>250000</v>
      </c>
      <c r="T106" s="68">
        <f t="shared" si="38"/>
        <v>4879.5244776515847</v>
      </c>
      <c r="U106" s="68">
        <f t="shared" si="39"/>
        <v>-2479.5244776515847</v>
      </c>
      <c r="V106">
        <f t="shared" si="40"/>
        <v>0</v>
      </c>
      <c r="W106">
        <f>IF(AND(R106=1,S106&gt;=SC_LT,V106&lt;&gt;0,OR(IF(AND($G$4=$J$4,B106="X"),TRUE,FALSE),IF(AND($G$4=$J$3,A106="X",D106&lt;&gt;$O$4),TRUE,FALSE))),MAX($W$25:W105)+1,0)</f>
        <v>0</v>
      </c>
    </row>
    <row r="107" spans="1:23" x14ac:dyDescent="0.3">
      <c r="A107" s="10"/>
      <c r="B107" s="10" t="s">
        <v>116</v>
      </c>
      <c r="C107" s="39">
        <v>3296507632</v>
      </c>
      <c r="D107">
        <f t="shared" si="23"/>
        <v>50.8</v>
      </c>
      <c r="E107">
        <f t="shared" si="24"/>
        <v>6.5</v>
      </c>
      <c r="F107">
        <f t="shared" si="25"/>
        <v>763</v>
      </c>
      <c r="G107" s="67">
        <f t="shared" si="26"/>
        <v>116.38461538461539</v>
      </c>
      <c r="H107" s="67">
        <f t="shared" si="27"/>
        <v>108.38461538461539</v>
      </c>
      <c r="I107" s="68">
        <f t="shared" si="28"/>
        <v>630036.80336873792</v>
      </c>
      <c r="J107" s="68">
        <f t="shared" si="29"/>
        <v>42059.544271489729</v>
      </c>
      <c r="K107" s="68">
        <f t="shared" si="30"/>
        <v>5812.9726357655027</v>
      </c>
      <c r="L107" s="69">
        <f t="shared" si="31"/>
        <v>21.829626902678442</v>
      </c>
      <c r="M107" s="39">
        <v>4</v>
      </c>
      <c r="N107" s="30">
        <f t="shared" si="32"/>
        <v>0.58657297294776911</v>
      </c>
      <c r="O107" s="30">
        <f t="shared" si="33"/>
        <v>6.2947840650014317</v>
      </c>
      <c r="P107" s="67">
        <f t="shared" si="34"/>
        <v>254.46074329522571</v>
      </c>
      <c r="Q107" s="67">
        <f t="shared" si="35"/>
        <v>285.61373295938625</v>
      </c>
      <c r="R107">
        <f t="shared" si="36"/>
        <v>0</v>
      </c>
      <c r="S107">
        <f t="shared" si="37"/>
        <v>23750</v>
      </c>
      <c r="T107" s="68">
        <f t="shared" si="38"/>
        <v>4079.6643856900373</v>
      </c>
      <c r="U107" s="68">
        <f t="shared" si="39"/>
        <v>-1679.6643856900373</v>
      </c>
      <c r="V107">
        <f t="shared" si="40"/>
        <v>0</v>
      </c>
      <c r="W107">
        <f>IF(AND(R107=1,S107&gt;=SC_LT,V107&lt;&gt;0,OR(IF(AND($G$4=$J$4,B107="X"),TRUE,FALSE),IF(AND($G$4=$J$3,A107="X",D107&lt;&gt;$O$4),TRUE,FALSE))),MAX($W$25:W106)+1,0)</f>
        <v>0</v>
      </c>
    </row>
    <row r="108" spans="1:23" x14ac:dyDescent="0.3">
      <c r="A108" s="10"/>
      <c r="B108" s="10" t="s">
        <v>116</v>
      </c>
      <c r="C108" s="39">
        <v>3296508382</v>
      </c>
      <c r="D108">
        <f t="shared" si="23"/>
        <v>50.8</v>
      </c>
      <c r="E108">
        <f t="shared" si="24"/>
        <v>6.5</v>
      </c>
      <c r="F108">
        <f t="shared" si="25"/>
        <v>838</v>
      </c>
      <c r="G108" s="67">
        <f t="shared" si="26"/>
        <v>127.92307692307693</v>
      </c>
      <c r="H108" s="67">
        <f t="shared" si="27"/>
        <v>119.92307692307693</v>
      </c>
      <c r="I108" s="68">
        <f t="shared" si="28"/>
        <v>630036.80336873792</v>
      </c>
      <c r="J108" s="68">
        <f t="shared" si="29"/>
        <v>42059.544271489729</v>
      </c>
      <c r="K108" s="68">
        <f t="shared" si="30"/>
        <v>5253.674434761765</v>
      </c>
      <c r="L108" s="69">
        <f t="shared" si="31"/>
        <v>23.993833138899046</v>
      </c>
      <c r="M108" s="39">
        <v>4</v>
      </c>
      <c r="N108" s="30">
        <f t="shared" si="32"/>
        <v>0.64901864075626137</v>
      </c>
      <c r="O108" s="30">
        <f t="shared" si="33"/>
        <v>6.3572297328099241</v>
      </c>
      <c r="P108" s="67">
        <f t="shared" si="34"/>
        <v>231.64767836237192</v>
      </c>
      <c r="Q108" s="67">
        <f t="shared" si="35"/>
        <v>259.80326684011555</v>
      </c>
      <c r="R108">
        <f t="shared" si="36"/>
        <v>0</v>
      </c>
      <c r="S108">
        <f t="shared" si="37"/>
        <v>38250</v>
      </c>
      <c r="T108" s="68">
        <f t="shared" si="38"/>
        <v>4381.2879730530585</v>
      </c>
      <c r="U108" s="68">
        <f t="shared" si="39"/>
        <v>-1981.2879730530585</v>
      </c>
      <c r="V108">
        <f t="shared" si="40"/>
        <v>0</v>
      </c>
      <c r="W108">
        <f>IF(AND(R108=1,S108&gt;=SC_LT,V108&lt;&gt;0,OR(IF(AND($G$4=$J$4,B108="X"),TRUE,FALSE),IF(AND($G$4=$J$3,A108="X",D108&lt;&gt;$O$4),TRUE,FALSE))),MAX($W$25:W107)+1,0)</f>
        <v>0</v>
      </c>
    </row>
    <row r="109" spans="1:23" x14ac:dyDescent="0.3">
      <c r="A109" s="10"/>
      <c r="B109" s="10" t="s">
        <v>116</v>
      </c>
      <c r="C109" s="39">
        <v>3296509132</v>
      </c>
      <c r="D109">
        <f t="shared" si="23"/>
        <v>50.8</v>
      </c>
      <c r="E109">
        <f t="shared" si="24"/>
        <v>6.5</v>
      </c>
      <c r="F109">
        <f t="shared" si="25"/>
        <v>913</v>
      </c>
      <c r="G109" s="67">
        <f t="shared" si="26"/>
        <v>139.46153846153845</v>
      </c>
      <c r="H109" s="67">
        <f t="shared" si="27"/>
        <v>131.46153846153845</v>
      </c>
      <c r="I109" s="68">
        <f t="shared" si="28"/>
        <v>630036.80336873792</v>
      </c>
      <c r="J109" s="68">
        <f t="shared" si="29"/>
        <v>42059.544271489729</v>
      </c>
      <c r="K109" s="68">
        <f t="shared" si="30"/>
        <v>4792.5561403122256</v>
      </c>
      <c r="L109" s="69">
        <f t="shared" si="31"/>
        <v>26.158039375119643</v>
      </c>
      <c r="M109" s="39">
        <v>4</v>
      </c>
      <c r="N109" s="30">
        <f t="shared" si="32"/>
        <v>0.71146430856475329</v>
      </c>
      <c r="O109" s="30">
        <f t="shared" si="33"/>
        <v>6.4196754006184165</v>
      </c>
      <c r="P109" s="67">
        <f t="shared" si="34"/>
        <v>212.83924741422052</v>
      </c>
      <c r="Q109" s="67">
        <f t="shared" si="35"/>
        <v>238.52360226313937</v>
      </c>
      <c r="R109">
        <f t="shared" si="36"/>
        <v>0</v>
      </c>
      <c r="S109">
        <f t="shared" si="37"/>
        <v>59375</v>
      </c>
      <c r="T109" s="68">
        <f t="shared" si="38"/>
        <v>4682.9115604160788</v>
      </c>
      <c r="U109" s="68">
        <f t="shared" si="39"/>
        <v>-2282.9115604160788</v>
      </c>
      <c r="V109">
        <f t="shared" si="40"/>
        <v>0</v>
      </c>
      <c r="W109">
        <f>IF(AND(R109=1,S109&gt;=SC_LT,V109&lt;&gt;0,OR(IF(AND($G$4=$J$4,B109="X"),TRUE,FALSE),IF(AND($G$4=$J$3,A109="X",D109&lt;&gt;$O$4),TRUE,FALSE))),MAX($W$25:W108)+1,0)</f>
        <v>0</v>
      </c>
    </row>
    <row r="110" spans="1:23" x14ac:dyDescent="0.3">
      <c r="A110" s="10"/>
      <c r="B110" s="10" t="s">
        <v>116</v>
      </c>
      <c r="C110" s="39">
        <v>3296509892</v>
      </c>
      <c r="D110">
        <f t="shared" si="23"/>
        <v>50.8</v>
      </c>
      <c r="E110">
        <f t="shared" si="24"/>
        <v>6.5</v>
      </c>
      <c r="F110">
        <f t="shared" si="25"/>
        <v>989</v>
      </c>
      <c r="G110" s="67">
        <f t="shared" si="26"/>
        <v>151.15384615384616</v>
      </c>
      <c r="H110" s="67">
        <f t="shared" si="27"/>
        <v>143.15384615384616</v>
      </c>
      <c r="I110" s="68">
        <f t="shared" si="28"/>
        <v>630036.80336873792</v>
      </c>
      <c r="J110" s="68">
        <f t="shared" si="29"/>
        <v>42059.544271489729</v>
      </c>
      <c r="K110" s="68">
        <f t="shared" si="30"/>
        <v>4401.1168424468524</v>
      </c>
      <c r="L110" s="69">
        <f t="shared" si="31"/>
        <v>28.351101694489849</v>
      </c>
      <c r="M110" s="39">
        <v>4</v>
      </c>
      <c r="N110" s="30">
        <f t="shared" si="32"/>
        <v>0.77474258527735873</v>
      </c>
      <c r="O110" s="30">
        <f t="shared" si="33"/>
        <v>6.4829536773310217</v>
      </c>
      <c r="P110" s="67">
        <f t="shared" si="34"/>
        <v>196.87293444656314</v>
      </c>
      <c r="Q110" s="67">
        <f t="shared" si="35"/>
        <v>220.45948062431822</v>
      </c>
      <c r="R110">
        <f t="shared" si="36"/>
        <v>0</v>
      </c>
      <c r="S110">
        <f t="shared" si="37"/>
        <v>75000</v>
      </c>
      <c r="T110" s="68">
        <f t="shared" si="38"/>
        <v>4988.556795610607</v>
      </c>
      <c r="U110" s="68">
        <f t="shared" si="39"/>
        <v>-2588.556795610607</v>
      </c>
      <c r="V110">
        <f t="shared" si="40"/>
        <v>0</v>
      </c>
      <c r="W110">
        <f>IF(AND(R110=1,S110&gt;=SC_LT,V110&lt;&gt;0,OR(IF(AND($G$4=$J$4,B110="X"),TRUE,FALSE),IF(AND($G$4=$J$3,A110="X",D110&lt;&gt;$O$4),TRUE,FALSE))),MAX($W$25:W109)+1,0)</f>
        <v>0</v>
      </c>
    </row>
    <row r="111" spans="1:23" x14ac:dyDescent="0.3">
      <c r="A111" s="10"/>
      <c r="B111" s="10" t="s">
        <v>116</v>
      </c>
      <c r="C111" s="39">
        <v>3296510642</v>
      </c>
      <c r="D111">
        <f t="shared" ref="D111:D123" si="41">INDEX($O$3:$O$4,MATCH(VALUE(LEFT(C111,3)),$Q$3:$Q$4,0))</f>
        <v>50.8</v>
      </c>
      <c r="E111">
        <f t="shared" ref="E111:E123" si="42">VALUE(RIGHT(LEFT(C111,5),2))/10</f>
        <v>6.5</v>
      </c>
      <c r="F111">
        <f t="shared" ref="F111:F123" si="43">VALUE(RIGHT(LEFT(C111,9),4))</f>
        <v>1064</v>
      </c>
      <c r="G111" s="67">
        <f t="shared" ref="G111:G123" si="44">(F111/E111)-1</f>
        <v>162.69230769230768</v>
      </c>
      <c r="H111" s="67">
        <f t="shared" ref="H111:H123" si="45">G111-VLOOKUP(D111,$O$3:$P$4,2,0)</f>
        <v>154.69230769230768</v>
      </c>
      <c r="I111" s="68">
        <f t="shared" ref="I111:I123" si="46">(($E111^4)*206000*PI())/(32*($D111+$E111))</f>
        <v>630036.80336873792</v>
      </c>
      <c r="J111" s="68">
        <f t="shared" ref="J111:J123" si="47">((E111^3)*VLOOKUP(E111,$O$7:$P$13,2,0)*PI())/32</f>
        <v>42059.544271489729</v>
      </c>
      <c r="K111" s="68">
        <f t="shared" ref="K111:K123" si="48">I111/H111</f>
        <v>4072.8386095443034</v>
      </c>
      <c r="L111" s="69">
        <f t="shared" ref="L111:L123" si="49">((PI()*((E111/2)^2))*(PI()*(D111+E111)))*G111*(7.85/1000000)*M111</f>
        <v>30.515307930710442</v>
      </c>
      <c r="M111" s="39">
        <v>4</v>
      </c>
      <c r="N111" s="30">
        <f t="shared" ref="N111:N123" si="50">((SC_LMT/M111)+SC_SBD)/K111</f>
        <v>0.83718825308585065</v>
      </c>
      <c r="O111" s="30">
        <f t="shared" ref="O111:O123" si="51">N111+SC_RDT</f>
        <v>6.5453993451395132</v>
      </c>
      <c r="P111" s="67">
        <f t="shared" ref="P111:P123" si="52">((((O111+SC_TOL_MIN)*K111)-SC_SBD)*M111)/(SC_HMA*9.81)</f>
        <v>183.48288128742863</v>
      </c>
      <c r="Q111" s="67">
        <f t="shared" ref="Q111:Q123" si="53">((((O111+SC_TOL_PLUS)*K111)-SC_SBD)*M111)/(SC_HMA*9.81)</f>
        <v>205.31011273287979</v>
      </c>
      <c r="R111">
        <f t="shared" ref="R111:R123" si="54">IF(AND(SC_W&gt;=P111,SC_W&lt;=Q111),1,0)</f>
        <v>0</v>
      </c>
      <c r="S111">
        <f t="shared" ref="S111:S123" si="55">_xlfn.IFNA(VLOOKUP(ROUND(VLOOKUP(ROUND(1-(SC_RDT/O111),2),SC_LT_TABLE,2,0)-(($I111*O111)/($H111*J111)),2),SC_LT_TABLE,3,0),0)</f>
        <v>90625</v>
      </c>
      <c r="T111" s="68">
        <f t="shared" ref="T111:T123" si="56">((F111+(O111*E111)+$K$9+$K$8+$K$11)*M111)+IF(M111=4,$K$10,0)</f>
        <v>5290.1803829736273</v>
      </c>
      <c r="U111" s="68">
        <f t="shared" ref="U111:U123" si="57">SC_DW-T111</f>
        <v>-2890.1803829736273</v>
      </c>
      <c r="V111">
        <f t="shared" si="40"/>
        <v>0</v>
      </c>
      <c r="W111">
        <f>IF(AND(R111=1,S111&gt;=SC_LT,V111&lt;&gt;0,OR(IF(AND($G$4=$J$4,B111="X"),TRUE,FALSE),IF(AND($G$4=$J$3,A111="X",D111&lt;&gt;$O$4),TRUE,FALSE))),MAX($W$25:W110)+1,0)</f>
        <v>0</v>
      </c>
    </row>
    <row r="112" spans="1:23" x14ac:dyDescent="0.3">
      <c r="A112" s="10"/>
      <c r="B112" s="10" t="s">
        <v>116</v>
      </c>
      <c r="C112" s="39">
        <v>3296511402</v>
      </c>
      <c r="D112">
        <f t="shared" si="41"/>
        <v>50.8</v>
      </c>
      <c r="E112">
        <f t="shared" si="42"/>
        <v>6.5</v>
      </c>
      <c r="F112">
        <f t="shared" si="43"/>
        <v>1140</v>
      </c>
      <c r="G112" s="67">
        <f t="shared" si="44"/>
        <v>174.38461538461539</v>
      </c>
      <c r="H112" s="67">
        <f t="shared" si="45"/>
        <v>166.38461538461539</v>
      </c>
      <c r="I112" s="68">
        <f t="shared" si="46"/>
        <v>630036.80336873792</v>
      </c>
      <c r="J112" s="68">
        <f t="shared" si="47"/>
        <v>42059.544271489729</v>
      </c>
      <c r="K112" s="68">
        <f t="shared" si="48"/>
        <v>3786.6289615319429</v>
      </c>
      <c r="L112" s="69">
        <f t="shared" si="49"/>
        <v>32.708370250080655</v>
      </c>
      <c r="M112" s="39">
        <v>4</v>
      </c>
      <c r="N112" s="30">
        <f t="shared" si="50"/>
        <v>0.90046652979845621</v>
      </c>
      <c r="O112" s="30">
        <f t="shared" si="51"/>
        <v>6.6086776218521193</v>
      </c>
      <c r="P112" s="67">
        <f t="shared" si="52"/>
        <v>171.80875240091083</v>
      </c>
      <c r="Q112" s="67">
        <f t="shared" si="53"/>
        <v>192.10212384649668</v>
      </c>
      <c r="R112">
        <f t="shared" si="54"/>
        <v>0</v>
      </c>
      <c r="S112">
        <f t="shared" si="55"/>
        <v>114286</v>
      </c>
      <c r="T112" s="68">
        <f t="shared" si="56"/>
        <v>5595.8256181681554</v>
      </c>
      <c r="U112" s="68">
        <f t="shared" si="57"/>
        <v>-3195.8256181681554</v>
      </c>
      <c r="V112">
        <f t="shared" ref="V112:V123" si="58">IF(U112&gt;=$K$15,$J$15,IF(U112&gt;=$K$14,$J$14,IF(AND(U112&gt;=$K$13,M112=4),$J$14,IF(U112&gt;=$K$13,$J$13,0))))</f>
        <v>0</v>
      </c>
      <c r="W112">
        <f>IF(AND(R112=1,S112&gt;=SC_LT,V112&lt;&gt;0,OR(IF(AND($G$4=$J$4,B112="X"),TRUE,FALSE),IF(AND($G$4=$J$3,A112="X",D112&lt;&gt;$O$4),TRUE,FALSE))),MAX($W$25:W111)+1,0)</f>
        <v>0</v>
      </c>
    </row>
    <row r="113" spans="1:23" x14ac:dyDescent="0.3">
      <c r="A113" s="10"/>
      <c r="B113" s="10" t="s">
        <v>116</v>
      </c>
      <c r="C113" s="39">
        <v>3296512162</v>
      </c>
      <c r="D113">
        <f t="shared" si="41"/>
        <v>50.8</v>
      </c>
      <c r="E113">
        <f t="shared" si="42"/>
        <v>6.5</v>
      </c>
      <c r="F113">
        <f t="shared" si="43"/>
        <v>1216</v>
      </c>
      <c r="G113" s="67">
        <f t="shared" si="44"/>
        <v>186.07692307692307</v>
      </c>
      <c r="H113" s="67">
        <f t="shared" si="45"/>
        <v>178.07692307692307</v>
      </c>
      <c r="I113" s="68">
        <f t="shared" si="46"/>
        <v>630036.80336873792</v>
      </c>
      <c r="J113" s="68">
        <f t="shared" si="47"/>
        <v>42059.544271489729</v>
      </c>
      <c r="K113" s="68">
        <f t="shared" si="48"/>
        <v>3538.0036474270382</v>
      </c>
      <c r="L113" s="69">
        <f t="shared" si="49"/>
        <v>34.901432569450861</v>
      </c>
      <c r="M113" s="39">
        <v>4</v>
      </c>
      <c r="N113" s="30">
        <f t="shared" si="50"/>
        <v>0.96374480651106142</v>
      </c>
      <c r="O113" s="30">
        <f t="shared" si="51"/>
        <v>6.6719558985647245</v>
      </c>
      <c r="P113" s="67">
        <f t="shared" si="52"/>
        <v>161.66764087141308</v>
      </c>
      <c r="Q113" s="67">
        <f t="shared" si="53"/>
        <v>180.62857496938383</v>
      </c>
      <c r="R113">
        <f t="shared" si="54"/>
        <v>0</v>
      </c>
      <c r="S113">
        <f t="shared" si="55"/>
        <v>157143</v>
      </c>
      <c r="T113" s="68">
        <f t="shared" si="56"/>
        <v>5901.4708533626826</v>
      </c>
      <c r="U113" s="68">
        <f t="shared" si="57"/>
        <v>-3501.4708533626826</v>
      </c>
      <c r="V113">
        <f t="shared" si="58"/>
        <v>0</v>
      </c>
      <c r="W113">
        <f>IF(AND(R113=1,S113&gt;=SC_LT,V113&lt;&gt;0,OR(IF(AND($G$4=$J$4,B113="X"),TRUE,FALSE),IF(AND($G$4=$J$3,A113="X",D113&lt;&gt;$O$4),TRUE,FALSE))),MAX($W$25:W112)+1,0)</f>
        <v>0</v>
      </c>
    </row>
    <row r="114" spans="1:23" x14ac:dyDescent="0.3">
      <c r="A114" s="10"/>
      <c r="B114" s="10" t="s">
        <v>116</v>
      </c>
      <c r="C114" s="74">
        <v>3396510182</v>
      </c>
      <c r="D114">
        <f t="shared" si="41"/>
        <v>66.674999999999997</v>
      </c>
      <c r="E114">
        <f t="shared" si="42"/>
        <v>6.5</v>
      </c>
      <c r="F114">
        <f t="shared" si="43"/>
        <v>1018</v>
      </c>
      <c r="G114" s="67">
        <f t="shared" si="44"/>
        <v>155.61538461538461</v>
      </c>
      <c r="H114" s="67">
        <f t="shared" si="45"/>
        <v>148.61538461538461</v>
      </c>
      <c r="I114" s="68">
        <f t="shared" si="46"/>
        <v>493353.04179062089</v>
      </c>
      <c r="J114" s="68">
        <f t="shared" si="47"/>
        <v>42059.544271489729</v>
      </c>
      <c r="K114" s="68">
        <f t="shared" si="48"/>
        <v>3319.6633246780907</v>
      </c>
      <c r="L114" s="69">
        <f t="shared" si="49"/>
        <v>37.274461416125632</v>
      </c>
      <c r="M114" s="39">
        <v>4</v>
      </c>
      <c r="N114" s="30">
        <f t="shared" si="50"/>
        <v>1.0271320634467183</v>
      </c>
      <c r="O114" s="30">
        <f t="shared" si="51"/>
        <v>6.7353431555003809</v>
      </c>
      <c r="P114" s="67">
        <f t="shared" si="52"/>
        <v>152.76181576524812</v>
      </c>
      <c r="Q114" s="67">
        <f t="shared" si="53"/>
        <v>170.55261639725049</v>
      </c>
      <c r="R114">
        <f t="shared" si="54"/>
        <v>0</v>
      </c>
      <c r="S114">
        <f t="shared" si="55"/>
        <v>200000</v>
      </c>
      <c r="T114" s="68">
        <f t="shared" si="56"/>
        <v>5111.1189220430097</v>
      </c>
      <c r="U114" s="68">
        <f t="shared" si="57"/>
        <v>-2711.1189220430097</v>
      </c>
      <c r="V114">
        <f t="shared" si="58"/>
        <v>0</v>
      </c>
      <c r="W114">
        <f>IF(AND(R114=1,S114&gt;=SC_LT,V114&lt;&gt;0,OR(IF(AND($G$4=$J$4,B114="X"),TRUE,FALSE),IF(AND($G$4=$J$3,A114="X",D114&lt;&gt;$O$4),TRUE,FALSE))),MAX($W$25:W113)+1,0)</f>
        <v>0</v>
      </c>
    </row>
    <row r="115" spans="1:23" x14ac:dyDescent="0.3">
      <c r="A115" s="10"/>
      <c r="B115" s="10" t="s">
        <v>116</v>
      </c>
      <c r="C115" s="74">
        <v>3396510772</v>
      </c>
      <c r="D115">
        <f t="shared" si="41"/>
        <v>66.674999999999997</v>
      </c>
      <c r="E115">
        <f t="shared" si="42"/>
        <v>6.5</v>
      </c>
      <c r="F115">
        <f t="shared" si="43"/>
        <v>1077</v>
      </c>
      <c r="G115" s="67">
        <f t="shared" si="44"/>
        <v>164.69230769230768</v>
      </c>
      <c r="H115" s="67">
        <f t="shared" si="45"/>
        <v>157.69230769230768</v>
      </c>
      <c r="I115" s="68">
        <f t="shared" si="46"/>
        <v>493353.04179062089</v>
      </c>
      <c r="J115" s="68">
        <f t="shared" si="47"/>
        <v>42059.544271489729</v>
      </c>
      <c r="K115" s="68">
        <f t="shared" si="48"/>
        <v>3128.5802650136939</v>
      </c>
      <c r="L115" s="69">
        <f t="shared" si="49"/>
        <v>39.44865145423875</v>
      </c>
      <c r="M115" s="39">
        <v>4</v>
      </c>
      <c r="N115" s="30">
        <f t="shared" si="50"/>
        <v>1.0898658023114762</v>
      </c>
      <c r="O115" s="30">
        <f t="shared" si="51"/>
        <v>6.7980768943651393</v>
      </c>
      <c r="P115" s="67">
        <f t="shared" si="52"/>
        <v>144.9677798826562</v>
      </c>
      <c r="Q115" s="67">
        <f t="shared" si="53"/>
        <v>161.73452467340186</v>
      </c>
      <c r="R115">
        <f t="shared" si="54"/>
        <v>0</v>
      </c>
      <c r="S115">
        <f t="shared" si="55"/>
        <v>225000</v>
      </c>
      <c r="T115" s="68">
        <f t="shared" si="56"/>
        <v>5348.749999253494</v>
      </c>
      <c r="U115" s="68">
        <f t="shared" si="57"/>
        <v>-2948.749999253494</v>
      </c>
      <c r="V115">
        <f t="shared" si="58"/>
        <v>0</v>
      </c>
      <c r="W115">
        <f>IF(AND(R115=1,S115&gt;=SC_LT,V115&lt;&gt;0,OR(IF(AND($G$4=$J$4,B115="X"),TRUE,FALSE),IF(AND($G$4=$J$3,A115="X",D115&lt;&gt;$O$4),TRUE,FALSE))),MAX($W$25:W114)+1,0)</f>
        <v>0</v>
      </c>
    </row>
    <row r="116" spans="1:23" x14ac:dyDescent="0.3">
      <c r="A116" s="10"/>
      <c r="B116" s="10" t="s">
        <v>116</v>
      </c>
      <c r="C116" s="74">
        <v>3396511372</v>
      </c>
      <c r="D116">
        <f t="shared" si="41"/>
        <v>66.674999999999997</v>
      </c>
      <c r="E116">
        <f t="shared" si="42"/>
        <v>6.5</v>
      </c>
      <c r="F116">
        <f t="shared" si="43"/>
        <v>1137</v>
      </c>
      <c r="G116" s="67">
        <f t="shared" si="44"/>
        <v>173.92307692307693</v>
      </c>
      <c r="H116" s="67">
        <f t="shared" si="45"/>
        <v>166.92307692307693</v>
      </c>
      <c r="I116" s="68">
        <f t="shared" si="46"/>
        <v>493353.04179062089</v>
      </c>
      <c r="J116" s="68">
        <f t="shared" si="47"/>
        <v>42059.544271489729</v>
      </c>
      <c r="K116" s="68">
        <f t="shared" si="48"/>
        <v>2955.5712181004938</v>
      </c>
      <c r="L116" s="69">
        <f t="shared" si="49"/>
        <v>41.659692170963957</v>
      </c>
      <c r="M116" s="39">
        <v>4</v>
      </c>
      <c r="N116" s="30">
        <f t="shared" si="50"/>
        <v>1.1536628248858067</v>
      </c>
      <c r="O116" s="30">
        <f t="shared" si="51"/>
        <v>6.8618739169394694</v>
      </c>
      <c r="P116" s="67">
        <f t="shared" si="52"/>
        <v>137.91096007862538</v>
      </c>
      <c r="Q116" s="67">
        <f t="shared" si="53"/>
        <v>153.75051160905332</v>
      </c>
      <c r="R116">
        <f t="shared" si="54"/>
        <v>0</v>
      </c>
      <c r="S116">
        <f t="shared" si="55"/>
        <v>262500</v>
      </c>
      <c r="T116" s="68">
        <f t="shared" si="56"/>
        <v>5590.4087218404266</v>
      </c>
      <c r="U116" s="68">
        <f t="shared" si="57"/>
        <v>-3190.4087218404266</v>
      </c>
      <c r="V116">
        <f t="shared" si="58"/>
        <v>0</v>
      </c>
      <c r="W116">
        <f>IF(AND(R116=1,S116&gt;=SC_LT,V116&lt;&gt;0,OR(IF(AND($G$4=$J$4,B116="X"),TRUE,FALSE),IF(AND($G$4=$J$3,A116="X",D116&lt;&gt;$O$4),TRUE,FALSE))),MAX($W$25:W115)+1,0)</f>
        <v>0</v>
      </c>
    </row>
    <row r="117" spans="1:23" x14ac:dyDescent="0.3">
      <c r="A117" s="10"/>
      <c r="B117" s="10" t="s">
        <v>116</v>
      </c>
      <c r="C117" s="39">
        <v>3397008372</v>
      </c>
      <c r="D117">
        <f t="shared" si="41"/>
        <v>66.674999999999997</v>
      </c>
      <c r="E117">
        <f t="shared" si="42"/>
        <v>7</v>
      </c>
      <c r="F117">
        <f t="shared" si="43"/>
        <v>837</v>
      </c>
      <c r="G117" s="67">
        <f t="shared" si="44"/>
        <v>118.57142857142857</v>
      </c>
      <c r="H117" s="67">
        <f t="shared" si="45"/>
        <v>111.57142857142857</v>
      </c>
      <c r="I117" s="68">
        <f t="shared" si="46"/>
        <v>659081.5134125523</v>
      </c>
      <c r="J117" s="68">
        <f t="shared" si="47"/>
        <v>51857.877233725019</v>
      </c>
      <c r="K117" s="68">
        <f t="shared" si="48"/>
        <v>5907.2606835952192</v>
      </c>
      <c r="L117" s="69">
        <f t="shared" si="49"/>
        <v>33.163906270197906</v>
      </c>
      <c r="M117" s="39">
        <v>4</v>
      </c>
      <c r="N117" s="30">
        <f t="shared" si="50"/>
        <v>0.57721045730959719</v>
      </c>
      <c r="O117" s="30">
        <f t="shared" si="51"/>
        <v>6.2854215493632601</v>
      </c>
      <c r="P117" s="67">
        <f t="shared" si="52"/>
        <v>258.30663329392598</v>
      </c>
      <c r="Q117" s="67">
        <f t="shared" si="53"/>
        <v>289.96493319495579</v>
      </c>
      <c r="R117">
        <f t="shared" si="54"/>
        <v>0</v>
      </c>
      <c r="S117">
        <f t="shared" si="55"/>
        <v>62500</v>
      </c>
      <c r="T117" s="68">
        <f t="shared" si="56"/>
        <v>4387.9918033821714</v>
      </c>
      <c r="U117" s="68">
        <f t="shared" si="57"/>
        <v>-1987.9918033821714</v>
      </c>
      <c r="V117">
        <f t="shared" si="58"/>
        <v>0</v>
      </c>
      <c r="W117">
        <f>IF(AND(R117=1,S117&gt;=SC_LT,V117&lt;&gt;0,OR(IF(AND($G$4=$J$4,B117="X"),TRUE,FALSE),IF(AND($G$4=$J$3,A117="X",D117&lt;&gt;$O$4),TRUE,FALSE))),MAX($W$25:W116)+1,0)</f>
        <v>0</v>
      </c>
    </row>
    <row r="118" spans="1:23" x14ac:dyDescent="0.3">
      <c r="A118" s="10"/>
      <c r="B118" s="10" t="s">
        <v>116</v>
      </c>
      <c r="C118" s="39">
        <v>3397009062</v>
      </c>
      <c r="D118">
        <f t="shared" si="41"/>
        <v>66.674999999999997</v>
      </c>
      <c r="E118">
        <f t="shared" si="42"/>
        <v>7</v>
      </c>
      <c r="F118">
        <f t="shared" si="43"/>
        <v>906</v>
      </c>
      <c r="G118" s="67">
        <f t="shared" si="44"/>
        <v>128.42857142857142</v>
      </c>
      <c r="H118" s="67">
        <f t="shared" si="45"/>
        <v>121.42857142857142</v>
      </c>
      <c r="I118" s="68">
        <f t="shared" si="46"/>
        <v>659081.5134125523</v>
      </c>
      <c r="J118" s="68">
        <f t="shared" si="47"/>
        <v>51857.877233725019</v>
      </c>
      <c r="K118" s="68">
        <f t="shared" si="48"/>
        <v>5427.7301104563139</v>
      </c>
      <c r="L118" s="69">
        <f t="shared" si="49"/>
        <v>35.920905707117967</v>
      </c>
      <c r="M118" s="39">
        <v>4</v>
      </c>
      <c r="N118" s="30">
        <f t="shared" si="50"/>
        <v>0.62820600347395339</v>
      </c>
      <c r="O118" s="30">
        <f t="shared" si="51"/>
        <v>6.336417095527616</v>
      </c>
      <c r="P118" s="67">
        <f t="shared" si="52"/>
        <v>238.74718882821188</v>
      </c>
      <c r="Q118" s="67">
        <f t="shared" si="53"/>
        <v>267.83557967845218</v>
      </c>
      <c r="R118">
        <f t="shared" si="54"/>
        <v>0</v>
      </c>
      <c r="S118">
        <f t="shared" si="55"/>
        <v>81250</v>
      </c>
      <c r="T118" s="68">
        <f t="shared" si="56"/>
        <v>4665.4196786747734</v>
      </c>
      <c r="U118" s="68">
        <f t="shared" si="57"/>
        <v>-2265.4196786747734</v>
      </c>
      <c r="V118">
        <f t="shared" si="58"/>
        <v>0</v>
      </c>
      <c r="W118">
        <f>IF(AND(R118=1,S118&gt;=SC_LT,V118&lt;&gt;0,OR(IF(AND($G$4=$J$4,B118="X"),TRUE,FALSE),IF(AND($G$4=$J$3,A118="X",D118&lt;&gt;$O$4),TRUE,FALSE))),MAX($W$25:W117)+1,0)</f>
        <v>0</v>
      </c>
    </row>
    <row r="119" spans="1:23" x14ac:dyDescent="0.3">
      <c r="A119" s="10"/>
      <c r="B119" s="10" t="s">
        <v>116</v>
      </c>
      <c r="C119" s="39">
        <v>3397009752</v>
      </c>
      <c r="D119">
        <f t="shared" si="41"/>
        <v>66.674999999999997</v>
      </c>
      <c r="E119">
        <f t="shared" si="42"/>
        <v>7</v>
      </c>
      <c r="F119">
        <f t="shared" si="43"/>
        <v>975</v>
      </c>
      <c r="G119" s="67">
        <f t="shared" si="44"/>
        <v>138.28571428571428</v>
      </c>
      <c r="H119" s="67">
        <f t="shared" si="45"/>
        <v>131.28571428571428</v>
      </c>
      <c r="I119" s="68">
        <f t="shared" si="46"/>
        <v>659081.5134125523</v>
      </c>
      <c r="J119" s="68">
        <f t="shared" si="47"/>
        <v>51857.877233725019</v>
      </c>
      <c r="K119" s="68">
        <f t="shared" si="48"/>
        <v>5020.2073926962639</v>
      </c>
      <c r="L119" s="69">
        <f t="shared" si="49"/>
        <v>38.677905144038036</v>
      </c>
      <c r="M119" s="39">
        <v>4</v>
      </c>
      <c r="N119" s="30">
        <f t="shared" si="50"/>
        <v>0.67920154963830959</v>
      </c>
      <c r="O119" s="30">
        <f t="shared" si="51"/>
        <v>6.3874126416919728</v>
      </c>
      <c r="P119" s="67">
        <f t="shared" si="52"/>
        <v>222.12485354233291</v>
      </c>
      <c r="Q119" s="67">
        <f t="shared" si="53"/>
        <v>249.02924116225054</v>
      </c>
      <c r="R119">
        <f t="shared" si="54"/>
        <v>0</v>
      </c>
      <c r="S119">
        <f t="shared" si="55"/>
        <v>93750</v>
      </c>
      <c r="T119" s="68">
        <f t="shared" si="56"/>
        <v>4942.8475539673755</v>
      </c>
      <c r="U119" s="68">
        <f t="shared" si="57"/>
        <v>-2542.8475539673755</v>
      </c>
      <c r="V119">
        <f t="shared" si="58"/>
        <v>0</v>
      </c>
      <c r="W119">
        <f>IF(AND(R119=1,S119&gt;=SC_LT,V119&lt;&gt;0,OR(IF(AND($G$4=$J$4,B119="X"),TRUE,FALSE),IF(AND($G$4=$J$3,A119="X",D119&lt;&gt;$O$4),TRUE,FALSE))),MAX($W$25:W118)+1,0)</f>
        <v>0</v>
      </c>
    </row>
    <row r="120" spans="1:23" x14ac:dyDescent="0.3">
      <c r="A120" s="10"/>
      <c r="B120" s="10" t="s">
        <v>116</v>
      </c>
      <c r="C120" s="39">
        <v>3397010442</v>
      </c>
      <c r="D120">
        <f t="shared" si="41"/>
        <v>66.674999999999997</v>
      </c>
      <c r="E120">
        <f t="shared" si="42"/>
        <v>7</v>
      </c>
      <c r="F120">
        <f t="shared" si="43"/>
        <v>1044</v>
      </c>
      <c r="G120" s="67">
        <f t="shared" si="44"/>
        <v>148.14285714285714</v>
      </c>
      <c r="H120" s="67">
        <f t="shared" si="45"/>
        <v>141.14285714285714</v>
      </c>
      <c r="I120" s="68">
        <f t="shared" si="46"/>
        <v>659081.5134125523</v>
      </c>
      <c r="J120" s="68">
        <f t="shared" si="47"/>
        <v>51857.877233725019</v>
      </c>
      <c r="K120" s="68">
        <f t="shared" si="48"/>
        <v>4669.6058642589742</v>
      </c>
      <c r="L120" s="69">
        <f t="shared" si="49"/>
        <v>41.434904580958097</v>
      </c>
      <c r="M120" s="39">
        <v>4</v>
      </c>
      <c r="N120" s="30">
        <f t="shared" si="50"/>
        <v>0.73019709580266579</v>
      </c>
      <c r="O120" s="30">
        <f t="shared" si="51"/>
        <v>6.4384081878563286</v>
      </c>
      <c r="P120" s="67">
        <f t="shared" si="52"/>
        <v>207.82426144415771</v>
      </c>
      <c r="Q120" s="67">
        <f t="shared" si="53"/>
        <v>232.84969891653046</v>
      </c>
      <c r="R120">
        <f t="shared" si="54"/>
        <v>0</v>
      </c>
      <c r="S120">
        <f t="shared" si="55"/>
        <v>128571</v>
      </c>
      <c r="T120" s="68">
        <f t="shared" si="56"/>
        <v>5220.2754292599775</v>
      </c>
      <c r="U120" s="68">
        <f t="shared" si="57"/>
        <v>-2820.2754292599775</v>
      </c>
      <c r="V120">
        <f t="shared" si="58"/>
        <v>0</v>
      </c>
      <c r="W120">
        <f>IF(AND(R120=1,S120&gt;=SC_LT,V120&lt;&gt;0,OR(IF(AND($G$4=$J$4,B120="X"),TRUE,FALSE),IF(AND($G$4=$J$3,A120="X",D120&lt;&gt;$O$4),TRUE,FALSE))),MAX($W$25:W119)+1,0)</f>
        <v>0</v>
      </c>
    </row>
    <row r="121" spans="1:23" x14ac:dyDescent="0.3">
      <c r="A121" s="10"/>
      <c r="B121" s="10" t="s">
        <v>116</v>
      </c>
      <c r="C121" s="39">
        <v>3397011132</v>
      </c>
      <c r="D121">
        <f t="shared" si="41"/>
        <v>66.674999999999997</v>
      </c>
      <c r="E121">
        <f t="shared" si="42"/>
        <v>7</v>
      </c>
      <c r="F121">
        <f t="shared" si="43"/>
        <v>1113</v>
      </c>
      <c r="G121" s="67">
        <f t="shared" si="44"/>
        <v>158</v>
      </c>
      <c r="H121" s="67">
        <f t="shared" si="45"/>
        <v>151</v>
      </c>
      <c r="I121" s="68">
        <f t="shared" si="46"/>
        <v>659081.5134125523</v>
      </c>
      <c r="J121" s="68">
        <f t="shared" si="47"/>
        <v>51857.877233725019</v>
      </c>
      <c r="K121" s="68">
        <f t="shared" si="48"/>
        <v>4364.778234520214</v>
      </c>
      <c r="L121" s="69">
        <f t="shared" si="49"/>
        <v>44.191904017878173</v>
      </c>
      <c r="M121" s="39">
        <v>4</v>
      </c>
      <c r="N121" s="30">
        <f t="shared" si="50"/>
        <v>0.78119264196702209</v>
      </c>
      <c r="O121" s="30">
        <f t="shared" si="51"/>
        <v>6.4894037340206854</v>
      </c>
      <c r="P121" s="67">
        <f t="shared" si="52"/>
        <v>195.39072867384266</v>
      </c>
      <c r="Q121" s="67">
        <f t="shared" si="53"/>
        <v>218.78252831689306</v>
      </c>
      <c r="R121">
        <f t="shared" si="54"/>
        <v>0</v>
      </c>
      <c r="S121">
        <f t="shared" si="55"/>
        <v>171429</v>
      </c>
      <c r="T121" s="68">
        <f t="shared" si="56"/>
        <v>5497.7033045525795</v>
      </c>
      <c r="U121" s="68">
        <f t="shared" si="57"/>
        <v>-3097.7033045525795</v>
      </c>
      <c r="V121">
        <f t="shared" si="58"/>
        <v>0</v>
      </c>
      <c r="W121">
        <f>IF(AND(R121=1,S121&gt;=SC_LT,V121&lt;&gt;0,OR(IF(AND($G$4=$J$4,B121="X"),TRUE,FALSE),IF(AND($G$4=$J$3,A121="X",D121&lt;&gt;$O$4),TRUE,FALSE))),MAX($W$25:W120)+1,0)</f>
        <v>0</v>
      </c>
    </row>
    <row r="122" spans="1:23" x14ac:dyDescent="0.3">
      <c r="A122" s="10"/>
      <c r="B122" s="10" t="s">
        <v>116</v>
      </c>
      <c r="C122" s="39">
        <v>3397011832</v>
      </c>
      <c r="D122">
        <f t="shared" si="41"/>
        <v>66.674999999999997</v>
      </c>
      <c r="E122">
        <f t="shared" si="42"/>
        <v>7</v>
      </c>
      <c r="F122">
        <f t="shared" si="43"/>
        <v>1183</v>
      </c>
      <c r="G122" s="67">
        <f t="shared" si="44"/>
        <v>168</v>
      </c>
      <c r="H122" s="67">
        <f t="shared" si="45"/>
        <v>161</v>
      </c>
      <c r="I122" s="68">
        <f t="shared" si="46"/>
        <v>659081.5134125523</v>
      </c>
      <c r="J122" s="68">
        <f t="shared" si="47"/>
        <v>51857.877233725019</v>
      </c>
      <c r="K122" s="68">
        <f t="shared" si="48"/>
        <v>4093.6739963512564</v>
      </c>
      <c r="L122" s="69">
        <f t="shared" si="49"/>
        <v>46.988859968376786</v>
      </c>
      <c r="M122" s="39">
        <v>4</v>
      </c>
      <c r="N122" s="30">
        <f t="shared" si="50"/>
        <v>0.83292725401781831</v>
      </c>
      <c r="O122" s="30">
        <f t="shared" si="51"/>
        <v>6.5411383460714809</v>
      </c>
      <c r="P122" s="67">
        <f t="shared" si="52"/>
        <v>184.33273031479027</v>
      </c>
      <c r="Q122" s="67">
        <f t="shared" si="53"/>
        <v>206.27162314771331</v>
      </c>
      <c r="R122">
        <f t="shared" si="54"/>
        <v>0</v>
      </c>
      <c r="S122">
        <f t="shared" si="55"/>
        <v>212500</v>
      </c>
      <c r="T122" s="68">
        <f t="shared" si="56"/>
        <v>5779.1518736900016</v>
      </c>
      <c r="U122" s="68">
        <f t="shared" si="57"/>
        <v>-3379.1518736900016</v>
      </c>
      <c r="V122">
        <f t="shared" si="58"/>
        <v>0</v>
      </c>
      <c r="W122">
        <f>IF(AND(R122=1,S122&gt;=SC_LT,V122&lt;&gt;0,OR(IF(AND($G$4=$J$4,B122="X"),TRUE,FALSE),IF(AND($G$4=$J$3,A122="X",D122&lt;&gt;$O$4),TRUE,FALSE))),MAX($W$25:W121)+1,0)</f>
        <v>0</v>
      </c>
    </row>
    <row r="123" spans="1:23" x14ac:dyDescent="0.3">
      <c r="A123" s="10"/>
      <c r="B123" s="10" t="s">
        <v>116</v>
      </c>
      <c r="C123" s="39">
        <v>3397012522</v>
      </c>
      <c r="D123">
        <f t="shared" si="41"/>
        <v>66.674999999999997</v>
      </c>
      <c r="E123">
        <f t="shared" si="42"/>
        <v>7</v>
      </c>
      <c r="F123">
        <f t="shared" si="43"/>
        <v>1252</v>
      </c>
      <c r="G123" s="67">
        <f t="shared" si="44"/>
        <v>177.85714285714286</v>
      </c>
      <c r="H123" s="67">
        <f t="shared" si="45"/>
        <v>170.85714285714286</v>
      </c>
      <c r="I123" s="68">
        <f t="shared" si="46"/>
        <v>659081.5134125523</v>
      </c>
      <c r="J123" s="68">
        <f t="shared" si="47"/>
        <v>51857.877233725019</v>
      </c>
      <c r="K123" s="68">
        <f t="shared" si="48"/>
        <v>3857.5004965617609</v>
      </c>
      <c r="L123" s="69">
        <f t="shared" si="49"/>
        <v>49.745859405296855</v>
      </c>
      <c r="M123" s="39">
        <v>4</v>
      </c>
      <c r="N123" s="30">
        <f t="shared" si="50"/>
        <v>0.88392280018217451</v>
      </c>
      <c r="O123" s="30">
        <f t="shared" si="51"/>
        <v>6.5921338922358377</v>
      </c>
      <c r="P123" s="67">
        <f t="shared" si="52"/>
        <v>174.69951251353893</v>
      </c>
      <c r="Q123" s="67">
        <f t="shared" si="53"/>
        <v>195.3726999907164</v>
      </c>
      <c r="R123">
        <f t="shared" si="54"/>
        <v>0</v>
      </c>
      <c r="S123">
        <f t="shared" si="55"/>
        <v>250000</v>
      </c>
      <c r="T123" s="68">
        <f t="shared" si="56"/>
        <v>6056.5797489826036</v>
      </c>
      <c r="U123" s="68">
        <f t="shared" si="57"/>
        <v>-3656.5797489826036</v>
      </c>
      <c r="V123">
        <f t="shared" si="58"/>
        <v>0</v>
      </c>
      <c r="W123">
        <f>IF(AND(R123=1,S123&gt;=SC_LT,V123&lt;&gt;0,OR(IF(AND($G$4=$J$4,B123="X"),TRUE,FALSE),IF(AND($G$4=$J$3,A123="X",D123&lt;&gt;$O$4),TRUE,FALSE))),MAX($W$25:W122)+1,0)</f>
        <v>0</v>
      </c>
    </row>
    <row r="124" spans="1:23" x14ac:dyDescent="0.3">
      <c r="A124" s="10"/>
      <c r="B124" s="10"/>
      <c r="C124" t="str">
        <f t="shared" ref="C124:C155" si="59">ROUND(D124,0)&amp;"x"&amp;E124&amp;"-"&amp;ROUND(F124,0)</f>
        <v>51x5-260</v>
      </c>
      <c r="D124" s="39">
        <v>50.8</v>
      </c>
      <c r="E124" s="75">
        <v>5</v>
      </c>
      <c r="F124" s="68">
        <f t="shared" ref="F124:F155" si="60">(G124+1)*E124</f>
        <v>259.58886457081508</v>
      </c>
      <c r="G124" s="67">
        <f t="shared" ref="G124:G155" si="61">H124+VLOOKUP(D124,$O$3:$P$4,2,0)</f>
        <v>50.91777291416301</v>
      </c>
      <c r="H124" s="67">
        <f t="shared" ref="H124:H155" si="62">I124/K124</f>
        <v>42.91777291416301</v>
      </c>
      <c r="I124" s="68">
        <f t="shared" ref="I124:I155" si="63">(($E124^4)*206000*PI())/(32*($D124+$E124))</f>
        <v>226523.32781680438</v>
      </c>
      <c r="J124" s="68">
        <f t="shared" ref="J124:J155" si="64">((E124^3)*VLOOKUP(E124,$O$7:$P$13,2,0)*PI())/32</f>
        <v>20371.264863121316</v>
      </c>
      <c r="K124" s="68">
        <f t="shared" ref="K124:K155" si="65">(SC_HMT-SC_LMT)/(M124*SC_RDT)</f>
        <v>5278.0774125875232</v>
      </c>
      <c r="L124" s="69">
        <f t="shared" ref="L124:L155" si="66">((PI()*((E124/2)^2))*(PI()*(D124+E124)))*G124*(7.85/1000000)*M124</f>
        <v>2.7515855110222898</v>
      </c>
      <c r="M124" s="39">
        <v>2</v>
      </c>
      <c r="N124" s="30">
        <f t="shared" ref="N124:N155" si="67">((SC_LMT/M124)+SC_SBD)/K124</f>
        <v>1.1062295652059422</v>
      </c>
      <c r="O124" s="30">
        <f t="shared" ref="O124:O155" si="68">N124+SC_RDT</f>
        <v>6.8144406572596052</v>
      </c>
      <c r="P124" s="67">
        <f t="shared" ref="P124:P155" si="69">((((O124+SC_TOL_MIN)*K124)-SC_SBD)*M124)/(SC_HMA*9.81)</f>
        <v>124.99999999999999</v>
      </c>
      <c r="Q124" s="67">
        <f t="shared" ref="Q124:Q155" si="70">((((O124+SC_TOL_PLUS)*K124)-SC_SBD)*M124)/(SC_HMA*9.81)</f>
        <v>139.14318468224863</v>
      </c>
      <c r="R124">
        <f t="shared" ref="R124:R155" si="71">IF(AND(SC_W&gt;=P124,SC_W&lt;=Q124),1,0)</f>
        <v>1</v>
      </c>
      <c r="S124">
        <f t="shared" ref="S124:S155" si="72">_xlfn.IFNA(VLOOKUP(ROUND(VLOOKUP(ROUND(1-(SC_RDT/O124),2),SC_LT_TABLE,2,0)-(($I124*O124)/($H124*J124)),2),SC_LT_TABLE,3,0),0)</f>
        <v>0</v>
      </c>
      <c r="T124" s="68">
        <f t="shared" ref="T124:T155" si="73">((F124+(O124*E124)+$K$9+$K$8+$K$11)*M124)+IF(M124=4,$K$10,0)</f>
        <v>961.32213571422619</v>
      </c>
      <c r="U124" s="68">
        <f t="shared" ref="U124:U155" si="74">SC_DW-T124</f>
        <v>1438.6778642857739</v>
      </c>
      <c r="V124" t="str">
        <f t="shared" ref="V124:V155" si="75">IF(U124&gt;=$K$15,$J$15,IF(U124&gt;=$K$14,$J$14,IF(AND(U124&gt;=$K$13,M124=4),$J$14,IF(U124&gt;=$K$13,$J$13,0))))</f>
        <v>Ex_Center</v>
      </c>
      <c r="W124">
        <f>IF(AND(R124=1,S124&gt;=SC_LT,V124&lt;&gt;0,OR(IF(AND($G$4=$J$4,B124="X"),TRUE,FALSE),IF(AND($G$4=$J$3,A124="X",D124&lt;&gt;$O$4),TRUE,FALSE))),MAX($W$25:W123)+1,0)</f>
        <v>0</v>
      </c>
    </row>
    <row r="125" spans="1:23" x14ac:dyDescent="0.3">
      <c r="A125" s="10"/>
      <c r="B125" s="10"/>
      <c r="C125" t="str">
        <f t="shared" si="59"/>
        <v>51x5,5-392</v>
      </c>
      <c r="D125" s="39">
        <v>50.8</v>
      </c>
      <c r="E125" s="75">
        <v>5.5</v>
      </c>
      <c r="F125" s="68">
        <f t="shared" si="60"/>
        <v>392.02826261493493</v>
      </c>
      <c r="G125" s="67">
        <f t="shared" si="61"/>
        <v>70.277865929988167</v>
      </c>
      <c r="H125" s="67">
        <f t="shared" si="62"/>
        <v>62.277865929988174</v>
      </c>
      <c r="I125" s="68">
        <f t="shared" si="63"/>
        <v>328707.39746922464</v>
      </c>
      <c r="J125" s="68">
        <f t="shared" si="64"/>
        <v>26624.138709932282</v>
      </c>
      <c r="K125" s="68">
        <f t="shared" si="65"/>
        <v>5278.0774125875232</v>
      </c>
      <c r="L125" s="69">
        <f t="shared" si="66"/>
        <v>4.6365158148394841</v>
      </c>
      <c r="M125" s="39">
        <v>2</v>
      </c>
      <c r="N125" s="30">
        <f t="shared" si="67"/>
        <v>1.1062295652059422</v>
      </c>
      <c r="O125" s="30">
        <f t="shared" si="68"/>
        <v>6.8144406572596052</v>
      </c>
      <c r="P125" s="67">
        <f t="shared" si="69"/>
        <v>124.99999999999999</v>
      </c>
      <c r="Q125" s="67">
        <f t="shared" si="70"/>
        <v>139.14318468224863</v>
      </c>
      <c r="R125">
        <f t="shared" si="71"/>
        <v>1</v>
      </c>
      <c r="S125">
        <f t="shared" si="72"/>
        <v>0</v>
      </c>
      <c r="T125" s="68">
        <f t="shared" si="73"/>
        <v>1233.0153724597255</v>
      </c>
      <c r="U125" s="68">
        <f t="shared" si="74"/>
        <v>1166.9846275402745</v>
      </c>
      <c r="V125" t="str">
        <f t="shared" si="75"/>
        <v>Ex_Center</v>
      </c>
      <c r="W125">
        <f>IF(AND(R125=1,S125&gt;=SC_LT,V125&lt;&gt;0,OR(IF(AND($G$4=$J$4,B125="X"),TRUE,FALSE),IF(AND($G$4=$J$3,A125="X",D125&lt;&gt;$O$4),TRUE,FALSE))),MAX($W$25:W124)+1,0)</f>
        <v>0</v>
      </c>
    </row>
    <row r="126" spans="1:23" x14ac:dyDescent="0.3">
      <c r="A126" s="10"/>
      <c r="B126" s="10"/>
      <c r="C126" t="str">
        <f t="shared" si="59"/>
        <v>51x6-579</v>
      </c>
      <c r="D126" s="39">
        <v>50.8</v>
      </c>
      <c r="E126" s="75">
        <v>6</v>
      </c>
      <c r="F126" s="68">
        <f t="shared" si="60"/>
        <v>578.56495779362422</v>
      </c>
      <c r="G126" s="67">
        <f t="shared" si="61"/>
        <v>95.427492965604031</v>
      </c>
      <c r="H126" s="67">
        <f t="shared" si="62"/>
        <v>87.427492965604031</v>
      </c>
      <c r="I126" s="68">
        <f t="shared" si="63"/>
        <v>461449.07586090924</v>
      </c>
      <c r="J126" s="68">
        <f t="shared" si="64"/>
        <v>33717.143154652455</v>
      </c>
      <c r="K126" s="68">
        <f t="shared" si="65"/>
        <v>5278.0774125875232</v>
      </c>
      <c r="L126" s="69">
        <f t="shared" si="66"/>
        <v>7.5589897651277784</v>
      </c>
      <c r="M126" s="39">
        <v>2</v>
      </c>
      <c r="N126" s="30">
        <f t="shared" si="67"/>
        <v>1.1062295652059422</v>
      </c>
      <c r="O126" s="30">
        <f t="shared" si="68"/>
        <v>6.8144406572596052</v>
      </c>
      <c r="P126" s="67">
        <f t="shared" si="69"/>
        <v>124.99999999999999</v>
      </c>
      <c r="Q126" s="67">
        <f t="shared" si="70"/>
        <v>139.14318468224863</v>
      </c>
      <c r="R126">
        <f t="shared" si="71"/>
        <v>1</v>
      </c>
      <c r="S126">
        <f t="shared" si="72"/>
        <v>0</v>
      </c>
      <c r="T126" s="68">
        <f t="shared" si="73"/>
        <v>1612.9032034743636</v>
      </c>
      <c r="U126" s="68">
        <f t="shared" si="74"/>
        <v>787.09679652563636</v>
      </c>
      <c r="V126" t="str">
        <f t="shared" si="75"/>
        <v>Ex_Center</v>
      </c>
      <c r="W126">
        <f>IF(AND(R126=1,S126&gt;=SC_LT,V126&lt;&gt;0,OR(IF(AND($G$4=$J$4,B126="X"),TRUE,FALSE),IF(AND($G$4=$J$3,A126="X",D126&lt;&gt;$O$4),TRUE,FALSE))),MAX($W$25:W125)+1,0)</f>
        <v>0</v>
      </c>
    </row>
    <row r="127" spans="1:23" x14ac:dyDescent="0.3">
      <c r="A127" s="10"/>
      <c r="B127" s="10"/>
      <c r="C127" t="str">
        <f t="shared" si="59"/>
        <v>67x6-458</v>
      </c>
      <c r="D127" s="39">
        <v>66.674999999999997</v>
      </c>
      <c r="E127" s="75">
        <v>6</v>
      </c>
      <c r="F127" s="68">
        <f t="shared" si="60"/>
        <v>457.97990509360659</v>
      </c>
      <c r="G127" s="67">
        <f t="shared" si="61"/>
        <v>75.329984182267765</v>
      </c>
      <c r="H127" s="67">
        <f t="shared" si="62"/>
        <v>68.329984182267765</v>
      </c>
      <c r="I127" s="68">
        <f t="shared" si="63"/>
        <v>360650.94611489022</v>
      </c>
      <c r="J127" s="68">
        <f t="shared" si="64"/>
        <v>33717.143154652455</v>
      </c>
      <c r="K127" s="68">
        <f t="shared" si="65"/>
        <v>5278.0774125875232</v>
      </c>
      <c r="L127" s="69">
        <f t="shared" si="66"/>
        <v>7.6347500575370821</v>
      </c>
      <c r="M127" s="39">
        <v>2</v>
      </c>
      <c r="N127" s="30">
        <f t="shared" si="67"/>
        <v>1.1062295652059422</v>
      </c>
      <c r="O127" s="30">
        <f t="shared" si="68"/>
        <v>6.8144406572596052</v>
      </c>
      <c r="P127" s="67">
        <f t="shared" si="69"/>
        <v>124.99999999999999</v>
      </c>
      <c r="Q127" s="67">
        <f t="shared" si="70"/>
        <v>139.14318468224863</v>
      </c>
      <c r="R127">
        <f t="shared" si="71"/>
        <v>1</v>
      </c>
      <c r="S127">
        <f t="shared" si="72"/>
        <v>0</v>
      </c>
      <c r="T127" s="68">
        <f t="shared" si="73"/>
        <v>1371.7330980743284</v>
      </c>
      <c r="U127" s="68">
        <f t="shared" si="74"/>
        <v>1028.2669019256716</v>
      </c>
      <c r="V127" t="str">
        <f t="shared" si="75"/>
        <v>Ex_Center</v>
      </c>
      <c r="W127">
        <f>IF(AND(R127=1,S127&gt;=SC_LT,V127&lt;&gt;0,OR(IF(AND($G$4=$J$4,B127="X"),TRUE,FALSE),IF(AND($G$4=$J$3,A127="X",D127&lt;&gt;$O$4),TRUE,FALSE))),MAX($W$25:W126)+1,0)</f>
        <v>0</v>
      </c>
    </row>
    <row r="128" spans="1:23" x14ac:dyDescent="0.3">
      <c r="A128" s="10"/>
      <c r="B128" s="10"/>
      <c r="C128" t="str">
        <f t="shared" si="59"/>
        <v>51x6,5-834</v>
      </c>
      <c r="D128" s="39">
        <v>50.8</v>
      </c>
      <c r="E128" s="75">
        <v>6.5</v>
      </c>
      <c r="F128" s="68">
        <f t="shared" si="60"/>
        <v>834.3960132206829</v>
      </c>
      <c r="G128" s="67">
        <f t="shared" si="61"/>
        <v>127.3686174185666</v>
      </c>
      <c r="H128" s="67">
        <f t="shared" si="62"/>
        <v>119.3686174185666</v>
      </c>
      <c r="I128" s="68">
        <f t="shared" si="63"/>
        <v>630036.80336873792</v>
      </c>
      <c r="J128" s="68">
        <f t="shared" si="64"/>
        <v>42059.544271489729</v>
      </c>
      <c r="K128" s="68">
        <f t="shared" si="65"/>
        <v>5278.0774125875232</v>
      </c>
      <c r="L128" s="69">
        <f t="shared" si="66"/>
        <v>11.944918098362491</v>
      </c>
      <c r="M128" s="39">
        <v>2</v>
      </c>
      <c r="N128" s="30">
        <f t="shared" si="67"/>
        <v>1.1062295652059422</v>
      </c>
      <c r="O128" s="30">
        <f t="shared" si="68"/>
        <v>6.8144406572596052</v>
      </c>
      <c r="P128" s="67">
        <f t="shared" si="69"/>
        <v>124.99999999999999</v>
      </c>
      <c r="Q128" s="67">
        <f t="shared" si="70"/>
        <v>139.14318468224863</v>
      </c>
      <c r="R128">
        <f t="shared" si="71"/>
        <v>1</v>
      </c>
      <c r="S128">
        <f t="shared" si="72"/>
        <v>25000</v>
      </c>
      <c r="T128" s="68">
        <f t="shared" si="73"/>
        <v>2131.3797549857409</v>
      </c>
      <c r="U128" s="68">
        <f t="shared" si="74"/>
        <v>268.62024501425913</v>
      </c>
      <c r="V128" t="str">
        <f t="shared" si="75"/>
        <v>Center</v>
      </c>
      <c r="W128">
        <f>IF(AND(R128=1,S128&gt;=SC_LT,V128&lt;&gt;0,OR(IF(AND($G$4=$J$4,B128="X"),TRUE,FALSE),IF(AND($G$4=$J$3,A128="X",D128&lt;&gt;$O$4),TRUE,FALSE))),MAX($W$25:W127)+1,0)</f>
        <v>0</v>
      </c>
    </row>
    <row r="129" spans="1:23" x14ac:dyDescent="0.3">
      <c r="A129" s="10"/>
      <c r="B129" s="10"/>
      <c r="C129" t="str">
        <f t="shared" si="59"/>
        <v>67x6,5-660</v>
      </c>
      <c r="D129" s="39">
        <v>66.674999999999997</v>
      </c>
      <c r="E129" s="75">
        <v>6.5</v>
      </c>
      <c r="F129" s="68">
        <f t="shared" si="60"/>
        <v>659.56872644407417</v>
      </c>
      <c r="G129" s="67">
        <f t="shared" si="61"/>
        <v>100.4721117606268</v>
      </c>
      <c r="H129" s="67">
        <f t="shared" si="62"/>
        <v>93.472111760626802</v>
      </c>
      <c r="I129" s="68">
        <f t="shared" si="63"/>
        <v>493353.04179062089</v>
      </c>
      <c r="J129" s="68">
        <f t="shared" si="64"/>
        <v>42059.544271489729</v>
      </c>
      <c r="K129" s="68">
        <f t="shared" si="65"/>
        <v>5278.0774125875232</v>
      </c>
      <c r="L129" s="69">
        <f t="shared" si="66"/>
        <v>12.033012874897654</v>
      </c>
      <c r="M129" s="39">
        <v>2</v>
      </c>
      <c r="N129" s="30">
        <f t="shared" si="67"/>
        <v>1.1062295652059422</v>
      </c>
      <c r="O129" s="30">
        <f t="shared" si="68"/>
        <v>6.8144406572596052</v>
      </c>
      <c r="P129" s="67">
        <f t="shared" si="69"/>
        <v>124.99999999999999</v>
      </c>
      <c r="Q129" s="67">
        <f t="shared" si="70"/>
        <v>139.14318468224863</v>
      </c>
      <c r="R129">
        <f t="shared" si="71"/>
        <v>1</v>
      </c>
      <c r="S129">
        <f t="shared" si="72"/>
        <v>25000</v>
      </c>
      <c r="T129" s="68">
        <f t="shared" si="73"/>
        <v>1781.7251814325232</v>
      </c>
      <c r="U129" s="68">
        <f t="shared" si="74"/>
        <v>618.27481856747681</v>
      </c>
      <c r="V129" t="str">
        <f t="shared" si="75"/>
        <v>Ex_Center</v>
      </c>
      <c r="W129">
        <f>IF(AND(R129=1,S129&gt;=SC_LT,V129&lt;&gt;0,OR(IF(AND($G$4=$J$4,B129="X"),TRUE,FALSE),IF(AND($G$4=$J$3,A129="X",D129&lt;&gt;$O$4),TRUE,FALSE))),MAX($W$25:W128)+1,0)</f>
        <v>0</v>
      </c>
    </row>
    <row r="130" spans="1:23" x14ac:dyDescent="0.3">
      <c r="A130" s="10"/>
      <c r="B130" s="10"/>
      <c r="C130" t="str">
        <f t="shared" si="59"/>
        <v>67x7-930</v>
      </c>
      <c r="D130" s="39">
        <v>66.674999999999997</v>
      </c>
      <c r="E130" s="75">
        <v>7</v>
      </c>
      <c r="F130" s="68">
        <f t="shared" si="60"/>
        <v>930.10059255385386</v>
      </c>
      <c r="G130" s="67">
        <f t="shared" si="61"/>
        <v>131.87151322197911</v>
      </c>
      <c r="H130" s="67">
        <f t="shared" si="62"/>
        <v>124.87151322197913</v>
      </c>
      <c r="I130" s="68">
        <f t="shared" si="63"/>
        <v>659081.5134125523</v>
      </c>
      <c r="J130" s="68">
        <f t="shared" si="64"/>
        <v>51857.877233725019</v>
      </c>
      <c r="K130" s="68">
        <f t="shared" si="65"/>
        <v>5278.0774125875232</v>
      </c>
      <c r="L130" s="69">
        <f t="shared" si="66"/>
        <v>18.441940680373587</v>
      </c>
      <c r="M130" s="39">
        <v>2</v>
      </c>
      <c r="N130" s="30">
        <f t="shared" si="67"/>
        <v>1.1062295652059422</v>
      </c>
      <c r="O130" s="30">
        <f t="shared" si="68"/>
        <v>6.8144406572596052</v>
      </c>
      <c r="P130" s="67">
        <f t="shared" si="69"/>
        <v>124.99999999999999</v>
      </c>
      <c r="Q130" s="67">
        <f t="shared" si="70"/>
        <v>139.14318468224863</v>
      </c>
      <c r="R130">
        <f t="shared" si="71"/>
        <v>1</v>
      </c>
      <c r="S130">
        <f t="shared" si="72"/>
        <v>71875</v>
      </c>
      <c r="T130" s="68">
        <f t="shared" si="73"/>
        <v>2329.6033543093422</v>
      </c>
      <c r="U130" s="68">
        <f t="shared" si="74"/>
        <v>70.396645690657806</v>
      </c>
      <c r="V130" t="str">
        <f t="shared" si="75"/>
        <v>No cut</v>
      </c>
      <c r="W130">
        <f>IF(AND(R130=1,S130&gt;=SC_LT,V130&lt;&gt;0,OR(IF(AND($G$4=$J$4,B130="X"),TRUE,FALSE),IF(AND($G$4=$J$3,A130="X",D130&lt;&gt;$O$4),TRUE,FALSE))),MAX($W$25:W129)+1,0)</f>
        <v>0</v>
      </c>
    </row>
    <row r="131" spans="1:23" x14ac:dyDescent="0.3">
      <c r="A131" s="10"/>
      <c r="B131" s="10"/>
      <c r="C131" t="str">
        <f t="shared" si="59"/>
        <v>67x7,5-1286</v>
      </c>
      <c r="D131" s="39">
        <v>66.674999999999997</v>
      </c>
      <c r="E131" s="75">
        <v>7.5</v>
      </c>
      <c r="F131" s="68">
        <f t="shared" si="60"/>
        <v>1285.8578742254422</v>
      </c>
      <c r="G131" s="67">
        <f t="shared" si="61"/>
        <v>170.44771656339228</v>
      </c>
      <c r="H131" s="67">
        <f t="shared" si="62"/>
        <v>163.44771656339228</v>
      </c>
      <c r="I131" s="68">
        <f t="shared" si="63"/>
        <v>862689.70093224838</v>
      </c>
      <c r="J131" s="68">
        <f t="shared" si="64"/>
        <v>62540.39672209759</v>
      </c>
      <c r="K131" s="68">
        <f t="shared" si="65"/>
        <v>5278.0774125875232</v>
      </c>
      <c r="L131" s="69">
        <f t="shared" si="66"/>
        <v>27.549306812340774</v>
      </c>
      <c r="M131" s="39">
        <v>2</v>
      </c>
      <c r="N131" s="30">
        <f t="shared" si="67"/>
        <v>1.1062295652059422</v>
      </c>
      <c r="O131" s="30">
        <f t="shared" si="68"/>
        <v>6.8144406572596052</v>
      </c>
      <c r="P131" s="67">
        <f t="shared" si="69"/>
        <v>124.99999999999999</v>
      </c>
      <c r="Q131" s="67">
        <f t="shared" si="70"/>
        <v>139.14318468224863</v>
      </c>
      <c r="R131">
        <f t="shared" si="71"/>
        <v>1</v>
      </c>
      <c r="S131">
        <f t="shared" si="72"/>
        <v>128571</v>
      </c>
      <c r="T131" s="68">
        <f t="shared" si="73"/>
        <v>3047.9323583097785</v>
      </c>
      <c r="U131" s="68">
        <f t="shared" si="74"/>
        <v>-647.93235830977846</v>
      </c>
      <c r="V131">
        <f t="shared" si="75"/>
        <v>0</v>
      </c>
      <c r="W131">
        <f>IF(AND(R131=1,S131&gt;=SC_LT,V131&lt;&gt;0,OR(IF(AND($G$4=$J$4,B131="X"),TRUE,FALSE),IF(AND($G$4=$J$3,A131="X",D131&lt;&gt;$O$4),TRUE,FALSE))),MAX($W$25:W130)+1,0)</f>
        <v>0</v>
      </c>
    </row>
    <row r="132" spans="1:23" x14ac:dyDescent="0.3">
      <c r="A132" s="10"/>
      <c r="B132" s="10"/>
      <c r="C132" t="str">
        <f t="shared" si="59"/>
        <v>51x5-474</v>
      </c>
      <c r="D132" s="39">
        <v>50.8</v>
      </c>
      <c r="E132" s="75">
        <v>5</v>
      </c>
      <c r="F132" s="68">
        <f t="shared" si="60"/>
        <v>474.1777291416301</v>
      </c>
      <c r="G132" s="67">
        <f t="shared" si="61"/>
        <v>93.835545828326019</v>
      </c>
      <c r="H132" s="67">
        <f t="shared" si="62"/>
        <v>85.835545828326019</v>
      </c>
      <c r="I132" s="68">
        <f t="shared" si="63"/>
        <v>226523.32781680438</v>
      </c>
      <c r="J132" s="68">
        <f t="shared" si="64"/>
        <v>20371.264863121316</v>
      </c>
      <c r="K132" s="68">
        <f t="shared" si="65"/>
        <v>2639.0387062937616</v>
      </c>
      <c r="L132" s="69">
        <f t="shared" si="66"/>
        <v>10.141705480927325</v>
      </c>
      <c r="M132" s="39">
        <v>4</v>
      </c>
      <c r="N132" s="30">
        <f t="shared" si="67"/>
        <v>1.2920358585469909</v>
      </c>
      <c r="O132" s="30">
        <f t="shared" si="68"/>
        <v>7.0002469506006539</v>
      </c>
      <c r="P132" s="67">
        <f t="shared" si="69"/>
        <v>124.99999999999999</v>
      </c>
      <c r="Q132" s="67">
        <f t="shared" si="70"/>
        <v>139.14318468224863</v>
      </c>
      <c r="R132">
        <f t="shared" si="71"/>
        <v>1</v>
      </c>
      <c r="S132">
        <f t="shared" si="72"/>
        <v>19167</v>
      </c>
      <c r="T132" s="68">
        <f t="shared" si="73"/>
        <v>2900.7158555785336</v>
      </c>
      <c r="U132" s="68">
        <f t="shared" si="74"/>
        <v>-500.71585557853359</v>
      </c>
      <c r="V132">
        <f t="shared" si="75"/>
        <v>0</v>
      </c>
      <c r="W132">
        <f>IF(AND(R132=1,S132&gt;=SC_LT,V132&lt;&gt;0,OR(IF(AND($G$4=$J$4,B132="X"),TRUE,FALSE),IF(AND($G$4=$J$3,A132="X",D132&lt;&gt;$O$4),TRUE,FALSE))),MAX($W$25:W131)+1,0)</f>
        <v>0</v>
      </c>
    </row>
    <row r="133" spans="1:23" x14ac:dyDescent="0.3">
      <c r="A133" s="10"/>
      <c r="B133" s="10"/>
      <c r="C133" t="str">
        <f t="shared" si="59"/>
        <v>51x5,5-735</v>
      </c>
      <c r="D133" s="39">
        <v>50.8</v>
      </c>
      <c r="E133" s="75">
        <v>5.5</v>
      </c>
      <c r="F133" s="68">
        <f t="shared" si="60"/>
        <v>734.55652522986986</v>
      </c>
      <c r="G133" s="67">
        <f t="shared" si="61"/>
        <v>132.55573185997633</v>
      </c>
      <c r="H133" s="67">
        <f t="shared" si="62"/>
        <v>124.55573185997635</v>
      </c>
      <c r="I133" s="68">
        <f t="shared" si="63"/>
        <v>328707.39746922464</v>
      </c>
      <c r="J133" s="68">
        <f t="shared" si="64"/>
        <v>26624.138709932282</v>
      </c>
      <c r="K133" s="68">
        <f t="shared" si="65"/>
        <v>2639.0387062937616</v>
      </c>
      <c r="L133" s="69">
        <f t="shared" si="66"/>
        <v>17.490478374191742</v>
      </c>
      <c r="M133" s="39">
        <v>4</v>
      </c>
      <c r="N133" s="30">
        <f t="shared" si="67"/>
        <v>1.2920358585469909</v>
      </c>
      <c r="O133" s="30">
        <f t="shared" si="68"/>
        <v>7.0002469506006539</v>
      </c>
      <c r="P133" s="67">
        <f t="shared" si="69"/>
        <v>124.99999999999999</v>
      </c>
      <c r="Q133" s="67">
        <f t="shared" si="70"/>
        <v>139.14318468224863</v>
      </c>
      <c r="R133">
        <f t="shared" si="71"/>
        <v>1</v>
      </c>
      <c r="S133">
        <f t="shared" si="72"/>
        <v>71875</v>
      </c>
      <c r="T133" s="68">
        <f t="shared" si="73"/>
        <v>3956.2315338326939</v>
      </c>
      <c r="U133" s="68">
        <f t="shared" si="74"/>
        <v>-1556.2315338326939</v>
      </c>
      <c r="V133">
        <f t="shared" si="75"/>
        <v>0</v>
      </c>
      <c r="W133">
        <f>IF(AND(R133=1,S133&gt;=SC_LT,V133&lt;&gt;0,OR(IF(AND($G$4=$J$4,B133="X"),TRUE,FALSE),IF(AND($G$4=$J$3,A133="X",D133&lt;&gt;$O$4),TRUE,FALSE))),MAX($W$25:W132)+1,0)</f>
        <v>0</v>
      </c>
    </row>
    <row r="134" spans="1:23" x14ac:dyDescent="0.3">
      <c r="A134" s="10"/>
      <c r="B134" s="10"/>
      <c r="C134" t="str">
        <f t="shared" si="59"/>
        <v>51x6-1103</v>
      </c>
      <c r="D134" s="39">
        <v>50.8</v>
      </c>
      <c r="E134" s="75">
        <v>6</v>
      </c>
      <c r="F134" s="68">
        <f t="shared" si="60"/>
        <v>1103.1299155872484</v>
      </c>
      <c r="G134" s="67">
        <f t="shared" si="61"/>
        <v>182.85498593120806</v>
      </c>
      <c r="H134" s="67">
        <f t="shared" si="62"/>
        <v>174.85498593120806</v>
      </c>
      <c r="I134" s="68">
        <f t="shared" si="63"/>
        <v>461449.07586090924</v>
      </c>
      <c r="J134" s="68">
        <f t="shared" si="64"/>
        <v>33717.143154652455</v>
      </c>
      <c r="K134" s="68">
        <f t="shared" si="65"/>
        <v>2639.0387062937616</v>
      </c>
      <c r="L134" s="69">
        <f t="shared" si="66"/>
        <v>28.968569207928091</v>
      </c>
      <c r="M134" s="39">
        <v>4</v>
      </c>
      <c r="N134" s="30">
        <f t="shared" si="67"/>
        <v>1.2920358585469909</v>
      </c>
      <c r="O134" s="30">
        <f t="shared" si="68"/>
        <v>7.0002469506006539</v>
      </c>
      <c r="P134" s="67">
        <f t="shared" si="69"/>
        <v>124.99999999999999</v>
      </c>
      <c r="Q134" s="67">
        <f t="shared" si="70"/>
        <v>139.14318468224863</v>
      </c>
      <c r="R134">
        <f t="shared" si="71"/>
        <v>1</v>
      </c>
      <c r="S134">
        <f t="shared" si="72"/>
        <v>171429</v>
      </c>
      <c r="T134" s="68">
        <f t="shared" si="73"/>
        <v>5444.5255891634097</v>
      </c>
      <c r="U134" s="68">
        <f t="shared" si="74"/>
        <v>-3044.5255891634097</v>
      </c>
      <c r="V134">
        <f t="shared" si="75"/>
        <v>0</v>
      </c>
      <c r="W134">
        <f>IF(AND(R134=1,S134&gt;=SC_LT,V134&lt;&gt;0,OR(IF(AND($G$4=$J$4,B134="X"),TRUE,FALSE),IF(AND($G$4=$J$3,A134="X",D134&lt;&gt;$O$4),TRUE,FALSE))),MAX($W$25:W133)+1,0)</f>
        <v>0</v>
      </c>
    </row>
    <row r="135" spans="1:23" x14ac:dyDescent="0.3">
      <c r="A135" s="10"/>
      <c r="B135" s="10"/>
      <c r="C135" t="str">
        <f t="shared" si="59"/>
        <v>67x6-868</v>
      </c>
      <c r="D135" s="39">
        <v>66.674999999999997</v>
      </c>
      <c r="E135" s="75">
        <v>6</v>
      </c>
      <c r="F135" s="68">
        <f t="shared" si="60"/>
        <v>867.95981018721318</v>
      </c>
      <c r="G135" s="67">
        <f t="shared" si="61"/>
        <v>143.65996836453553</v>
      </c>
      <c r="H135" s="67">
        <f t="shared" si="62"/>
        <v>136.65996836453553</v>
      </c>
      <c r="I135" s="68">
        <f t="shared" si="63"/>
        <v>360650.94611489022</v>
      </c>
      <c r="J135" s="68">
        <f t="shared" si="64"/>
        <v>33717.143154652455</v>
      </c>
      <c r="K135" s="68">
        <f t="shared" si="65"/>
        <v>2639.0387062937616</v>
      </c>
      <c r="L135" s="69">
        <f t="shared" si="66"/>
        <v>29.1200897927467</v>
      </c>
      <c r="M135" s="39">
        <v>4</v>
      </c>
      <c r="N135" s="30">
        <f t="shared" si="67"/>
        <v>1.2920358585469909</v>
      </c>
      <c r="O135" s="30">
        <f t="shared" si="68"/>
        <v>7.0002469506006539</v>
      </c>
      <c r="P135" s="67">
        <f t="shared" si="69"/>
        <v>124.99999999999999</v>
      </c>
      <c r="Q135" s="67">
        <f t="shared" si="70"/>
        <v>139.14318468224863</v>
      </c>
      <c r="R135">
        <f t="shared" si="71"/>
        <v>1</v>
      </c>
      <c r="S135">
        <f t="shared" si="72"/>
        <v>171429</v>
      </c>
      <c r="T135" s="68">
        <f t="shared" si="73"/>
        <v>4503.8451675632678</v>
      </c>
      <c r="U135" s="68">
        <f t="shared" si="74"/>
        <v>-2103.8451675632678</v>
      </c>
      <c r="V135">
        <f t="shared" si="75"/>
        <v>0</v>
      </c>
      <c r="W135">
        <f>IF(AND(R135=1,S135&gt;=SC_LT,V135&lt;&gt;0,OR(IF(AND($G$4=$J$4,B135="X"),TRUE,FALSE),IF(AND($G$4=$J$3,A135="X",D135&lt;&gt;$O$4),TRUE,FALSE))),MAX($W$25:W134)+1,0)</f>
        <v>0</v>
      </c>
    </row>
    <row r="136" spans="1:23" x14ac:dyDescent="0.3">
      <c r="A136" s="10"/>
      <c r="B136" s="10"/>
      <c r="C136" t="str">
        <f t="shared" si="59"/>
        <v>51x6,5-1610</v>
      </c>
      <c r="D136" s="39">
        <v>50.8</v>
      </c>
      <c r="E136" s="75">
        <v>6.5</v>
      </c>
      <c r="F136" s="68">
        <f t="shared" si="60"/>
        <v>1610.2920264413658</v>
      </c>
      <c r="G136" s="67">
        <f t="shared" si="61"/>
        <v>246.7372348371332</v>
      </c>
      <c r="H136" s="67">
        <f t="shared" si="62"/>
        <v>238.7372348371332</v>
      </c>
      <c r="I136" s="68">
        <f t="shared" si="63"/>
        <v>630036.80336873792</v>
      </c>
      <c r="J136" s="68">
        <f t="shared" si="64"/>
        <v>42059.544271489729</v>
      </c>
      <c r="K136" s="68">
        <f t="shared" si="65"/>
        <v>2639.0387062937616</v>
      </c>
      <c r="L136" s="69">
        <f t="shared" si="66"/>
        <v>46.279156069670343</v>
      </c>
      <c r="M136" s="39">
        <v>4</v>
      </c>
      <c r="N136" s="30">
        <f t="shared" si="67"/>
        <v>1.2920358585469909</v>
      </c>
      <c r="O136" s="30">
        <f t="shared" si="68"/>
        <v>7.0002469506006539</v>
      </c>
      <c r="P136" s="67">
        <f t="shared" si="69"/>
        <v>124.99999999999999</v>
      </c>
      <c r="Q136" s="67">
        <f t="shared" si="70"/>
        <v>139.14318468224863</v>
      </c>
      <c r="R136">
        <f t="shared" si="71"/>
        <v>1</v>
      </c>
      <c r="S136">
        <f t="shared" si="72"/>
        <v>310000</v>
      </c>
      <c r="T136" s="68">
        <f t="shared" si="73"/>
        <v>7487.1745264810806</v>
      </c>
      <c r="U136" s="68">
        <f t="shared" si="74"/>
        <v>-5087.1745264810806</v>
      </c>
      <c r="V136">
        <f t="shared" si="75"/>
        <v>0</v>
      </c>
      <c r="W136">
        <f>IF(AND(R136=1,S136&gt;=SC_LT,V136&lt;&gt;0,OR(IF(AND($G$4=$J$4,B136="X"),TRUE,FALSE),IF(AND($G$4=$J$3,A136="X",D136&lt;&gt;$O$4),TRUE,FALSE))),MAX($W$25:W135)+1,0)</f>
        <v>0</v>
      </c>
    </row>
    <row r="137" spans="1:23" x14ac:dyDescent="0.3">
      <c r="A137" s="10"/>
      <c r="B137" s="10"/>
      <c r="C137" t="str">
        <f t="shared" si="59"/>
        <v>67x6,5-1267</v>
      </c>
      <c r="D137" s="39">
        <v>66.674999999999997</v>
      </c>
      <c r="E137" s="75">
        <v>6.5</v>
      </c>
      <c r="F137" s="68">
        <f t="shared" si="60"/>
        <v>1267.1374528881483</v>
      </c>
      <c r="G137" s="67">
        <f t="shared" si="61"/>
        <v>193.9442235212536</v>
      </c>
      <c r="H137" s="67">
        <f t="shared" si="62"/>
        <v>186.9442235212536</v>
      </c>
      <c r="I137" s="68">
        <f t="shared" si="63"/>
        <v>493353.04179062089</v>
      </c>
      <c r="J137" s="68">
        <f t="shared" si="64"/>
        <v>42059.544271489729</v>
      </c>
      <c r="K137" s="68">
        <f t="shared" si="65"/>
        <v>2639.0387062937616</v>
      </c>
      <c r="L137" s="69">
        <f t="shared" si="66"/>
        <v>46.455345622740673</v>
      </c>
      <c r="M137" s="39">
        <v>4</v>
      </c>
      <c r="N137" s="30">
        <f t="shared" si="67"/>
        <v>1.2920358585469909</v>
      </c>
      <c r="O137" s="30">
        <f t="shared" si="68"/>
        <v>7.0002469506006539</v>
      </c>
      <c r="P137" s="67">
        <f t="shared" si="69"/>
        <v>124.99999999999999</v>
      </c>
      <c r="Q137" s="67">
        <f t="shared" si="70"/>
        <v>139.14318468224863</v>
      </c>
      <c r="R137">
        <f t="shared" si="71"/>
        <v>1</v>
      </c>
      <c r="S137">
        <f t="shared" si="72"/>
        <v>310000</v>
      </c>
      <c r="T137" s="68">
        <f t="shared" si="73"/>
        <v>6114.5562322682108</v>
      </c>
      <c r="U137" s="68">
        <f t="shared" si="74"/>
        <v>-3714.5562322682108</v>
      </c>
      <c r="V137">
        <f t="shared" si="75"/>
        <v>0</v>
      </c>
      <c r="W137">
        <f>IF(AND(R137=1,S137&gt;=SC_LT,V137&lt;&gt;0,OR(IF(AND($G$4=$J$4,B137="X"),TRUE,FALSE),IF(AND($G$4=$J$3,A137="X",D137&lt;&gt;$O$4),TRUE,FALSE))),MAX($W$25:W136)+1,0)</f>
        <v>0</v>
      </c>
    </row>
    <row r="138" spans="1:23" x14ac:dyDescent="0.3">
      <c r="A138" s="10"/>
      <c r="B138" s="10"/>
      <c r="C138" t="str">
        <f t="shared" si="59"/>
        <v>67x7-1804</v>
      </c>
      <c r="D138" s="39">
        <v>66.674999999999997</v>
      </c>
      <c r="E138" s="75">
        <v>7</v>
      </c>
      <c r="F138" s="68">
        <f t="shared" si="60"/>
        <v>1804.2011851077077</v>
      </c>
      <c r="G138" s="67">
        <f t="shared" si="61"/>
        <v>256.74302644395823</v>
      </c>
      <c r="H138" s="67">
        <f t="shared" si="62"/>
        <v>249.74302644395826</v>
      </c>
      <c r="I138" s="68">
        <f t="shared" si="63"/>
        <v>659081.5134125523</v>
      </c>
      <c r="J138" s="68">
        <f t="shared" si="64"/>
        <v>51857.877233725019</v>
      </c>
      <c r="K138" s="68">
        <f t="shared" si="65"/>
        <v>2639.0387062937616</v>
      </c>
      <c r="L138" s="69">
        <f t="shared" si="66"/>
        <v>71.809893556145298</v>
      </c>
      <c r="M138" s="39">
        <v>4</v>
      </c>
      <c r="N138" s="30">
        <f t="shared" si="67"/>
        <v>1.2920358585469909</v>
      </c>
      <c r="O138" s="30">
        <f t="shared" si="68"/>
        <v>7.0002469506006539</v>
      </c>
      <c r="P138" s="67">
        <f t="shared" si="69"/>
        <v>124.99999999999999</v>
      </c>
      <c r="Q138" s="67">
        <f t="shared" si="70"/>
        <v>139.14318468224863</v>
      </c>
      <c r="R138">
        <f t="shared" si="71"/>
        <v>1</v>
      </c>
      <c r="S138">
        <f t="shared" si="72"/>
        <v>390000</v>
      </c>
      <c r="T138" s="68">
        <f t="shared" si="73"/>
        <v>8276.8116550476479</v>
      </c>
      <c r="U138" s="68">
        <f t="shared" si="74"/>
        <v>-5876.8116550476479</v>
      </c>
      <c r="V138">
        <f t="shared" si="75"/>
        <v>0</v>
      </c>
      <c r="W138">
        <f>IF(AND(R138=1,S138&gt;=SC_LT,V138&lt;&gt;0,OR(IF(AND($G$4=$J$4,B138="X"),TRUE,FALSE),IF(AND($G$4=$J$3,A138="X",D138&lt;&gt;$O$4),TRUE,FALSE))),MAX($W$25:W137)+1,0)</f>
        <v>0</v>
      </c>
    </row>
    <row r="139" spans="1:23" x14ac:dyDescent="0.3">
      <c r="A139" s="10"/>
      <c r="B139" s="10"/>
      <c r="C139" t="str">
        <f t="shared" si="59"/>
        <v>67x7,5-2512</v>
      </c>
      <c r="D139" s="39">
        <v>66.674999999999997</v>
      </c>
      <c r="E139" s="75">
        <v>7.5</v>
      </c>
      <c r="F139" s="68">
        <f t="shared" si="60"/>
        <v>2511.7157484508843</v>
      </c>
      <c r="G139" s="67">
        <f t="shared" si="61"/>
        <v>333.89543312678455</v>
      </c>
      <c r="H139" s="67">
        <f t="shared" si="62"/>
        <v>326.89543312678455</v>
      </c>
      <c r="I139" s="68">
        <f t="shared" si="63"/>
        <v>862689.70093224838</v>
      </c>
      <c r="J139" s="68">
        <f t="shared" si="64"/>
        <v>62540.39672209759</v>
      </c>
      <c r="K139" s="68">
        <f t="shared" si="65"/>
        <v>2639.0387062937616</v>
      </c>
      <c r="L139" s="69">
        <f t="shared" si="66"/>
        <v>107.9344201953928</v>
      </c>
      <c r="M139" s="39">
        <v>4</v>
      </c>
      <c r="N139" s="30">
        <f t="shared" si="67"/>
        <v>1.2920358585469909</v>
      </c>
      <c r="O139" s="30">
        <f t="shared" si="68"/>
        <v>7.0002469506006539</v>
      </c>
      <c r="P139" s="67">
        <f t="shared" si="69"/>
        <v>124.99999999999999</v>
      </c>
      <c r="Q139" s="67">
        <f t="shared" si="70"/>
        <v>139.14318468224863</v>
      </c>
      <c r="R139">
        <f t="shared" si="71"/>
        <v>1</v>
      </c>
      <c r="S139">
        <f t="shared" si="72"/>
        <v>450000</v>
      </c>
      <c r="T139" s="68">
        <f t="shared" si="73"/>
        <v>11120.870402321558</v>
      </c>
      <c r="U139" s="68">
        <f t="shared" si="74"/>
        <v>-8720.8704023215578</v>
      </c>
      <c r="V139">
        <f t="shared" si="75"/>
        <v>0</v>
      </c>
      <c r="W139">
        <f>IF(AND(R139=1,S139&gt;=SC_LT,V139&lt;&gt;0,OR(IF(AND($G$4=$J$4,B139="X"),TRUE,FALSE),IF(AND($G$4=$J$3,A139="X",D139&lt;&gt;$O$4),TRUE,FALSE))),MAX($W$25:W138)+1,0)</f>
        <v>0</v>
      </c>
    </row>
    <row r="140" spans="1:23" x14ac:dyDescent="0.3">
      <c r="A140" s="10"/>
      <c r="B140" s="10"/>
      <c r="C140" t="str">
        <f t="shared" si="59"/>
        <v>51x5-152</v>
      </c>
      <c r="D140" s="39">
        <v>50.8</v>
      </c>
      <c r="E140" s="75">
        <v>5</v>
      </c>
      <c r="F140" s="68">
        <f t="shared" si="60"/>
        <v>152.29443228540754</v>
      </c>
      <c r="G140" s="67">
        <f t="shared" si="61"/>
        <v>29.458886457081505</v>
      </c>
      <c r="H140" s="67">
        <f t="shared" si="62"/>
        <v>21.458886457081505</v>
      </c>
      <c r="I140" s="68">
        <f t="shared" si="63"/>
        <v>226523.32781680438</v>
      </c>
      <c r="J140" s="68">
        <f t="shared" si="64"/>
        <v>20371.264863121316</v>
      </c>
      <c r="K140" s="68">
        <f t="shared" si="65"/>
        <v>10556.154825175046</v>
      </c>
      <c r="L140" s="69">
        <f t="shared" si="66"/>
        <v>0.79597594815080175</v>
      </c>
      <c r="M140" s="39">
        <v>1</v>
      </c>
      <c r="N140" s="30">
        <f t="shared" si="67"/>
        <v>1.013326418535418</v>
      </c>
      <c r="O140" s="30">
        <f t="shared" si="68"/>
        <v>6.7215375105890809</v>
      </c>
      <c r="P140" s="67">
        <f t="shared" si="69"/>
        <v>124.99999999999999</v>
      </c>
      <c r="Q140" s="67">
        <f t="shared" si="70"/>
        <v>139.14318468224863</v>
      </c>
      <c r="R140">
        <f t="shared" si="71"/>
        <v>1</v>
      </c>
      <c r="S140">
        <f t="shared" si="72"/>
        <v>0</v>
      </c>
      <c r="T140" s="68">
        <f t="shared" si="73"/>
        <v>372.90211983835297</v>
      </c>
      <c r="U140" s="68">
        <f t="shared" si="74"/>
        <v>2027.097880161647</v>
      </c>
      <c r="V140" t="str">
        <f t="shared" si="75"/>
        <v>Ex_Center</v>
      </c>
      <c r="W140">
        <f>IF(AND(R140=1,S140&gt;=SC_LT,V140&lt;&gt;0,OR(IF(AND($G$4=$J$4,B140="X"),TRUE,FALSE),IF(AND($G$4=$J$3,A140="X",D140&lt;&gt;$O$4),TRUE,FALSE))),MAX($W$25:W139)+1,0)</f>
        <v>0</v>
      </c>
    </row>
    <row r="141" spans="1:23" x14ac:dyDescent="0.3">
      <c r="A141" s="10"/>
      <c r="B141" s="10"/>
      <c r="C141" t="str">
        <f t="shared" si="59"/>
        <v>51x5,5-221</v>
      </c>
      <c r="D141" s="39">
        <v>50.8</v>
      </c>
      <c r="E141" s="75">
        <v>5.5</v>
      </c>
      <c r="F141" s="68">
        <f t="shared" si="60"/>
        <v>220.76413130746747</v>
      </c>
      <c r="G141" s="67">
        <f t="shared" si="61"/>
        <v>39.138932964994083</v>
      </c>
      <c r="H141" s="67">
        <f t="shared" si="62"/>
        <v>31.138932964994087</v>
      </c>
      <c r="I141" s="68">
        <f t="shared" si="63"/>
        <v>328707.39746922464</v>
      </c>
      <c r="J141" s="68">
        <f t="shared" si="64"/>
        <v>26624.138709932282</v>
      </c>
      <c r="K141" s="68">
        <f t="shared" si="65"/>
        <v>10556.154825175046</v>
      </c>
      <c r="L141" s="69">
        <f t="shared" si="66"/>
        <v>1.2910770643556453</v>
      </c>
      <c r="M141" s="39">
        <v>1</v>
      </c>
      <c r="N141" s="30">
        <f t="shared" si="67"/>
        <v>1.013326418535418</v>
      </c>
      <c r="O141" s="30">
        <f t="shared" si="68"/>
        <v>6.7215375105890809</v>
      </c>
      <c r="P141" s="67">
        <f t="shared" si="69"/>
        <v>124.99999999999999</v>
      </c>
      <c r="Q141" s="67">
        <f t="shared" si="70"/>
        <v>139.14318468224863</v>
      </c>
      <c r="R141">
        <f t="shared" si="71"/>
        <v>1</v>
      </c>
      <c r="S141">
        <f t="shared" si="72"/>
        <v>0</v>
      </c>
      <c r="T141" s="68">
        <f t="shared" si="73"/>
        <v>444.73258761570742</v>
      </c>
      <c r="U141" s="68">
        <f t="shared" si="74"/>
        <v>1955.2674123842926</v>
      </c>
      <c r="V141" t="str">
        <f t="shared" si="75"/>
        <v>Ex_Center</v>
      </c>
      <c r="W141">
        <f>IF(AND(R141=1,S141&gt;=SC_LT,V141&lt;&gt;0,OR(IF(AND($G$4=$J$4,B141="X"),TRUE,FALSE),IF(AND($G$4=$J$3,A141="X",D141&lt;&gt;$O$4),TRUE,FALSE))),MAX($W$25:W140)+1,0)</f>
        <v>0</v>
      </c>
    </row>
    <row r="142" spans="1:23" x14ac:dyDescent="0.3">
      <c r="A142" s="10"/>
      <c r="B142" s="10"/>
      <c r="C142" t="str">
        <f t="shared" si="59"/>
        <v>51x6-316</v>
      </c>
      <c r="D142" s="39">
        <v>50.8</v>
      </c>
      <c r="E142" s="75">
        <v>6</v>
      </c>
      <c r="F142" s="68">
        <f t="shared" si="60"/>
        <v>316.28247889681211</v>
      </c>
      <c r="G142" s="67">
        <f t="shared" si="61"/>
        <v>51.713746482802016</v>
      </c>
      <c r="H142" s="67">
        <f t="shared" si="62"/>
        <v>43.713746482802016</v>
      </c>
      <c r="I142" s="68">
        <f t="shared" si="63"/>
        <v>461449.07586090924</v>
      </c>
      <c r="J142" s="68">
        <f t="shared" si="64"/>
        <v>33717.143154652455</v>
      </c>
      <c r="K142" s="68">
        <f t="shared" si="65"/>
        <v>10556.154825175046</v>
      </c>
      <c r="L142" s="69">
        <f t="shared" si="66"/>
        <v>2.0481711728548224</v>
      </c>
      <c r="M142" s="39">
        <v>1</v>
      </c>
      <c r="N142" s="30">
        <f t="shared" si="67"/>
        <v>1.013326418535418</v>
      </c>
      <c r="O142" s="30">
        <f t="shared" si="68"/>
        <v>6.7215375105890809</v>
      </c>
      <c r="P142" s="67">
        <f t="shared" si="69"/>
        <v>124.99999999999999</v>
      </c>
      <c r="Q142" s="67">
        <f t="shared" si="70"/>
        <v>139.14318468224863</v>
      </c>
      <c r="R142">
        <f t="shared" si="71"/>
        <v>1</v>
      </c>
      <c r="S142">
        <f t="shared" si="72"/>
        <v>0</v>
      </c>
      <c r="T142" s="68">
        <f t="shared" si="73"/>
        <v>543.61170396034663</v>
      </c>
      <c r="U142" s="68">
        <f t="shared" si="74"/>
        <v>1856.3882960396534</v>
      </c>
      <c r="V142" t="str">
        <f t="shared" si="75"/>
        <v>Ex_Center</v>
      </c>
      <c r="W142">
        <f>IF(AND(R142=1,S142&gt;=SC_LT,V142&lt;&gt;0,OR(IF(AND($G$4=$J$4,B142="X"),TRUE,FALSE),IF(AND($G$4=$J$3,A142="X",D142&lt;&gt;$O$4),TRUE,FALSE))),MAX($W$25:W141)+1,0)</f>
        <v>0</v>
      </c>
    </row>
    <row r="143" spans="1:23" x14ac:dyDescent="0.3">
      <c r="A143" s="10"/>
      <c r="B143" s="10"/>
      <c r="C143" t="str">
        <f t="shared" si="59"/>
        <v>67x6-253</v>
      </c>
      <c r="D143" s="39">
        <v>66.674999999999997</v>
      </c>
      <c r="E143" s="75">
        <v>6</v>
      </c>
      <c r="F143" s="68">
        <f t="shared" si="60"/>
        <v>252.98995254680329</v>
      </c>
      <c r="G143" s="67">
        <f t="shared" si="61"/>
        <v>41.164992091133882</v>
      </c>
      <c r="H143" s="67">
        <f t="shared" si="62"/>
        <v>34.164992091133882</v>
      </c>
      <c r="I143" s="68">
        <f t="shared" si="63"/>
        <v>360650.94611489022</v>
      </c>
      <c r="J143" s="68">
        <f t="shared" si="64"/>
        <v>33717.143154652455</v>
      </c>
      <c r="K143" s="68">
        <f t="shared" si="65"/>
        <v>10556.154825175046</v>
      </c>
      <c r="L143" s="69">
        <f t="shared" si="66"/>
        <v>2.0860513190594738</v>
      </c>
      <c r="M143" s="39">
        <v>1</v>
      </c>
      <c r="N143" s="30">
        <f t="shared" si="67"/>
        <v>1.013326418535418</v>
      </c>
      <c r="O143" s="30">
        <f t="shared" si="68"/>
        <v>6.7215375105890809</v>
      </c>
      <c r="P143" s="67">
        <f t="shared" si="69"/>
        <v>124.99999999999999</v>
      </c>
      <c r="Q143" s="67">
        <f t="shared" si="70"/>
        <v>139.14318468224863</v>
      </c>
      <c r="R143">
        <f t="shared" si="71"/>
        <v>1</v>
      </c>
      <c r="S143">
        <f t="shared" si="72"/>
        <v>0</v>
      </c>
      <c r="T143" s="68">
        <f t="shared" si="73"/>
        <v>480.31917761033776</v>
      </c>
      <c r="U143" s="68">
        <f t="shared" si="74"/>
        <v>1919.6808223896624</v>
      </c>
      <c r="V143" t="str">
        <f t="shared" si="75"/>
        <v>Ex_Center</v>
      </c>
      <c r="W143">
        <f>IF(AND(R143=1,S143&gt;=SC_LT,V143&lt;&gt;0,OR(IF(AND($G$4=$J$4,B143="X"),TRUE,FALSE),IF(AND($G$4=$J$3,A143="X",D143&lt;&gt;$O$4),TRUE,FALSE))),MAX($W$25:W142)+1,0)</f>
        <v>0</v>
      </c>
    </row>
    <row r="144" spans="1:23" x14ac:dyDescent="0.3">
      <c r="A144" s="10"/>
      <c r="B144" s="10"/>
      <c r="C144" t="str">
        <f t="shared" si="59"/>
        <v>51x6,5-446</v>
      </c>
      <c r="D144" s="39">
        <v>50.8</v>
      </c>
      <c r="E144" s="75">
        <v>6.5</v>
      </c>
      <c r="F144" s="68">
        <f t="shared" si="60"/>
        <v>446.44800661034145</v>
      </c>
      <c r="G144" s="67">
        <f t="shared" si="61"/>
        <v>67.6843087092833</v>
      </c>
      <c r="H144" s="67">
        <f t="shared" si="62"/>
        <v>59.6843087092833</v>
      </c>
      <c r="I144" s="68">
        <f t="shared" si="63"/>
        <v>630036.80336873792</v>
      </c>
      <c r="J144" s="68">
        <f t="shared" si="64"/>
        <v>42059.544271489729</v>
      </c>
      <c r="K144" s="68">
        <f t="shared" si="65"/>
        <v>10556.154825175046</v>
      </c>
      <c r="L144" s="69">
        <f t="shared" si="66"/>
        <v>3.1737940650630745</v>
      </c>
      <c r="M144" s="39">
        <v>1</v>
      </c>
      <c r="N144" s="30">
        <f t="shared" si="67"/>
        <v>1.013326418535418</v>
      </c>
      <c r="O144" s="30">
        <f t="shared" si="68"/>
        <v>6.7215375105890809</v>
      </c>
      <c r="P144" s="67">
        <f t="shared" si="69"/>
        <v>124.99999999999999</v>
      </c>
      <c r="Q144" s="67">
        <f t="shared" si="70"/>
        <v>139.14318468224863</v>
      </c>
      <c r="R144">
        <f t="shared" si="71"/>
        <v>1</v>
      </c>
      <c r="S144">
        <f t="shared" si="72"/>
        <v>0</v>
      </c>
      <c r="T144" s="68">
        <f t="shared" si="73"/>
        <v>677.13800042917046</v>
      </c>
      <c r="U144" s="68">
        <f t="shared" si="74"/>
        <v>1722.8619995708295</v>
      </c>
      <c r="V144" t="str">
        <f t="shared" si="75"/>
        <v>Ex_Center</v>
      </c>
      <c r="W144">
        <f>IF(AND(R144=1,S144&gt;=SC_LT,V144&lt;&gt;0,OR(IF(AND($G$4=$J$4,B144="X"),TRUE,FALSE),IF(AND($G$4=$J$3,A144="X",D144&lt;&gt;$O$4),TRUE,FALSE))),MAX($W$25:W143)+1,0)</f>
        <v>0</v>
      </c>
    </row>
    <row r="145" spans="1:23" x14ac:dyDescent="0.3">
      <c r="A145" s="10"/>
      <c r="B145" s="10"/>
      <c r="C145" t="str">
        <f t="shared" si="59"/>
        <v>67x6,5-356</v>
      </c>
      <c r="D145" s="39">
        <v>66.674999999999997</v>
      </c>
      <c r="E145" s="75">
        <v>6.5</v>
      </c>
      <c r="F145" s="68">
        <f t="shared" si="60"/>
        <v>355.78436322203709</v>
      </c>
      <c r="G145" s="67">
        <f t="shared" si="61"/>
        <v>53.736055880313401</v>
      </c>
      <c r="H145" s="67">
        <f t="shared" si="62"/>
        <v>46.736055880313401</v>
      </c>
      <c r="I145" s="68">
        <f t="shared" si="63"/>
        <v>493353.04179062089</v>
      </c>
      <c r="J145" s="68">
        <f t="shared" si="64"/>
        <v>42059.544271489729</v>
      </c>
      <c r="K145" s="68">
        <f t="shared" si="65"/>
        <v>10556.154825175046</v>
      </c>
      <c r="L145" s="69">
        <f t="shared" si="66"/>
        <v>3.2178414533306561</v>
      </c>
      <c r="M145" s="39">
        <v>1</v>
      </c>
      <c r="N145" s="30">
        <f t="shared" si="67"/>
        <v>1.013326418535418</v>
      </c>
      <c r="O145" s="30">
        <f t="shared" si="68"/>
        <v>6.7215375105890809</v>
      </c>
      <c r="P145" s="67">
        <f t="shared" si="69"/>
        <v>124.99999999999999</v>
      </c>
      <c r="Q145" s="67">
        <f t="shared" si="70"/>
        <v>139.14318468224863</v>
      </c>
      <c r="R145">
        <f t="shared" si="71"/>
        <v>1</v>
      </c>
      <c r="S145">
        <f t="shared" si="72"/>
        <v>0</v>
      </c>
      <c r="T145" s="68">
        <f t="shared" si="73"/>
        <v>586.47435704086615</v>
      </c>
      <c r="U145" s="68">
        <f t="shared" si="74"/>
        <v>1813.5256429591338</v>
      </c>
      <c r="V145" t="str">
        <f t="shared" si="75"/>
        <v>Ex_Center</v>
      </c>
      <c r="W145">
        <f>IF(AND(R145=1,S145&gt;=SC_LT,V145&lt;&gt;0,OR(IF(AND($G$4=$J$4,B145="X"),TRUE,FALSE),IF(AND($G$4=$J$3,A145="X",D145&lt;&gt;$O$4),TRUE,FALSE))),MAX($W$25:W144)+1,0)</f>
        <v>0</v>
      </c>
    </row>
    <row r="146" spans="1:23" x14ac:dyDescent="0.3">
      <c r="A146" s="10"/>
      <c r="B146" s="10"/>
      <c r="C146" t="str">
        <f t="shared" si="59"/>
        <v>67x7-493</v>
      </c>
      <c r="D146" s="39">
        <v>66.674999999999997</v>
      </c>
      <c r="E146" s="75">
        <v>7</v>
      </c>
      <c r="F146" s="68">
        <f t="shared" si="60"/>
        <v>493.05029627692693</v>
      </c>
      <c r="G146" s="67">
        <f t="shared" si="61"/>
        <v>69.435756610989557</v>
      </c>
      <c r="H146" s="67">
        <f t="shared" si="62"/>
        <v>62.435756610989564</v>
      </c>
      <c r="I146" s="68">
        <f t="shared" si="63"/>
        <v>659081.5134125523</v>
      </c>
      <c r="J146" s="68">
        <f t="shared" si="64"/>
        <v>51857.877233725019</v>
      </c>
      <c r="K146" s="68">
        <f t="shared" si="65"/>
        <v>10556.154825175046</v>
      </c>
      <c r="L146" s="69">
        <f t="shared" si="66"/>
        <v>4.8552188157620257</v>
      </c>
      <c r="M146" s="39">
        <v>1</v>
      </c>
      <c r="N146" s="30">
        <f t="shared" si="67"/>
        <v>1.013326418535418</v>
      </c>
      <c r="O146" s="30">
        <f t="shared" si="68"/>
        <v>6.7215375105890809</v>
      </c>
      <c r="P146" s="67">
        <f t="shared" si="69"/>
        <v>124.99999999999999</v>
      </c>
      <c r="Q146" s="67">
        <f t="shared" si="70"/>
        <v>139.14318468224863</v>
      </c>
      <c r="R146">
        <f t="shared" si="71"/>
        <v>1</v>
      </c>
      <c r="S146">
        <f t="shared" si="72"/>
        <v>0</v>
      </c>
      <c r="T146" s="68">
        <f t="shared" si="73"/>
        <v>727.10105885105054</v>
      </c>
      <c r="U146" s="68">
        <f t="shared" si="74"/>
        <v>1672.8989411489495</v>
      </c>
      <c r="V146" t="str">
        <f t="shared" si="75"/>
        <v>Ex_Center</v>
      </c>
      <c r="W146">
        <f>IF(AND(R146=1,S146&gt;=SC_LT,V146&lt;&gt;0,OR(IF(AND($G$4=$J$4,B146="X"),TRUE,FALSE),IF(AND($G$4=$J$3,A146="X",D146&lt;&gt;$O$4),TRUE,FALSE))),MAX($W$25:W145)+1,0)</f>
        <v>0</v>
      </c>
    </row>
    <row r="147" spans="1:23" x14ac:dyDescent="0.3">
      <c r="A147" s="10"/>
      <c r="B147" s="10"/>
      <c r="C147" t="str">
        <f t="shared" si="59"/>
        <v>67x7,5-673</v>
      </c>
      <c r="D147" s="39">
        <v>66.674999999999997</v>
      </c>
      <c r="E147" s="75">
        <v>7.5</v>
      </c>
      <c r="F147" s="68">
        <f t="shared" si="60"/>
        <v>672.92893711272109</v>
      </c>
      <c r="G147" s="67">
        <f t="shared" si="61"/>
        <v>88.723858281696138</v>
      </c>
      <c r="H147" s="67">
        <f t="shared" si="62"/>
        <v>81.723858281696138</v>
      </c>
      <c r="I147" s="68">
        <f t="shared" si="63"/>
        <v>862689.70093224838</v>
      </c>
      <c r="J147" s="68">
        <f t="shared" si="64"/>
        <v>62540.39672209759</v>
      </c>
      <c r="K147" s="68">
        <f t="shared" si="65"/>
        <v>10556.154825175046</v>
      </c>
      <c r="L147" s="69">
        <f t="shared" si="66"/>
        <v>7.1701775848314782</v>
      </c>
      <c r="M147" s="39">
        <v>1</v>
      </c>
      <c r="N147" s="30">
        <f t="shared" si="67"/>
        <v>1.013326418535418</v>
      </c>
      <c r="O147" s="30">
        <f t="shared" si="68"/>
        <v>6.7215375105890809</v>
      </c>
      <c r="P147" s="67">
        <f t="shared" si="69"/>
        <v>124.99999999999999</v>
      </c>
      <c r="Q147" s="67">
        <f t="shared" si="70"/>
        <v>139.14318468224863</v>
      </c>
      <c r="R147">
        <f t="shared" si="71"/>
        <v>1</v>
      </c>
      <c r="S147">
        <f t="shared" si="72"/>
        <v>0</v>
      </c>
      <c r="T147" s="68">
        <f t="shared" si="73"/>
        <v>910.34046844213924</v>
      </c>
      <c r="U147" s="68">
        <f t="shared" si="74"/>
        <v>1489.6595315578606</v>
      </c>
      <c r="V147" t="str">
        <f t="shared" si="75"/>
        <v>Ex_Center</v>
      </c>
      <c r="W147">
        <f>IF(AND(R147=1,S147&gt;=SC_LT,V147&lt;&gt;0,OR(IF(AND($G$4=$J$4,B147="X"),TRUE,FALSE),IF(AND($G$4=$J$3,A147="X",D147&lt;&gt;$O$4),TRUE,FALSE))),MAX($W$25:W146)+1,0)</f>
        <v>0</v>
      </c>
    </row>
    <row r="148" spans="1:23" x14ac:dyDescent="0.3">
      <c r="A148" s="10"/>
      <c r="B148" s="10"/>
      <c r="C148" t="str">
        <f t="shared" si="59"/>
        <v>51x5-367</v>
      </c>
      <c r="D148" s="39">
        <v>50.8</v>
      </c>
      <c r="E148" s="75">
        <v>5</v>
      </c>
      <c r="F148" s="68">
        <f t="shared" si="60"/>
        <v>366.88329685622256</v>
      </c>
      <c r="G148" s="67">
        <f t="shared" si="61"/>
        <v>72.376659371244514</v>
      </c>
      <c r="H148" s="67">
        <f t="shared" si="62"/>
        <v>64.376659371244514</v>
      </c>
      <c r="I148" s="68">
        <f t="shared" si="63"/>
        <v>226523.32781680438</v>
      </c>
      <c r="J148" s="68">
        <f t="shared" si="64"/>
        <v>20371.264863121316</v>
      </c>
      <c r="K148" s="68">
        <f t="shared" si="65"/>
        <v>3518.7182750583488</v>
      </c>
      <c r="L148" s="69">
        <f t="shared" si="66"/>
        <v>5.866828688614464</v>
      </c>
      <c r="M148" s="39">
        <v>3</v>
      </c>
      <c r="N148" s="30">
        <f t="shared" si="67"/>
        <v>1.1991327118764665</v>
      </c>
      <c r="O148" s="30">
        <f t="shared" si="68"/>
        <v>6.9073438039301296</v>
      </c>
      <c r="P148" s="67">
        <f t="shared" si="69"/>
        <v>124.99999999999999</v>
      </c>
      <c r="Q148" s="67">
        <f t="shared" si="70"/>
        <v>139.14318468224863</v>
      </c>
      <c r="R148">
        <f t="shared" si="71"/>
        <v>1</v>
      </c>
      <c r="S148">
        <f t="shared" si="72"/>
        <v>0</v>
      </c>
      <c r="T148" s="68">
        <f t="shared" si="73"/>
        <v>1765.2600476276198</v>
      </c>
      <c r="U148" s="68">
        <f t="shared" si="74"/>
        <v>634.73995237238023</v>
      </c>
      <c r="V148" t="str">
        <f t="shared" si="75"/>
        <v>Ex_Center</v>
      </c>
      <c r="W148">
        <f>IF(AND(R148=1,S148&gt;=SC_LT,V148&lt;&gt;0,OR(IF(AND($G$4=$J$4,B148="X"),TRUE,FALSE),IF(AND($G$4=$J$3,A148="X",D148&lt;&gt;$O$4),TRUE,FALSE))),MAX($W$25:W147)+1,0)</f>
        <v>0</v>
      </c>
    </row>
    <row r="149" spans="1:23" x14ac:dyDescent="0.3">
      <c r="A149" s="10"/>
      <c r="B149" s="10"/>
      <c r="C149" t="str">
        <f t="shared" si="59"/>
        <v>51x5,5-563</v>
      </c>
      <c r="D149" s="39">
        <v>50.8</v>
      </c>
      <c r="E149" s="75">
        <v>5.5</v>
      </c>
      <c r="F149" s="68">
        <f t="shared" si="60"/>
        <v>563.29239392240243</v>
      </c>
      <c r="G149" s="67">
        <f t="shared" si="61"/>
        <v>101.41679889498226</v>
      </c>
      <c r="H149" s="67">
        <f t="shared" si="62"/>
        <v>93.416798894982264</v>
      </c>
      <c r="I149" s="68">
        <f t="shared" si="63"/>
        <v>328707.39746922464</v>
      </c>
      <c r="J149" s="68">
        <f t="shared" si="64"/>
        <v>26624.138709932282</v>
      </c>
      <c r="K149" s="68">
        <f t="shared" si="65"/>
        <v>3518.7182750583488</v>
      </c>
      <c r="L149" s="69">
        <f t="shared" si="66"/>
        <v>10.036316251451517</v>
      </c>
      <c r="M149" s="39">
        <v>3</v>
      </c>
      <c r="N149" s="30">
        <f t="shared" si="67"/>
        <v>1.1991327118764665</v>
      </c>
      <c r="O149" s="30">
        <f t="shared" si="68"/>
        <v>6.9073438039301296</v>
      </c>
      <c r="P149" s="67">
        <f t="shared" si="69"/>
        <v>124.99999999999999</v>
      </c>
      <c r="Q149" s="67">
        <f t="shared" si="70"/>
        <v>139.14318468224863</v>
      </c>
      <c r="R149">
        <f t="shared" si="71"/>
        <v>1</v>
      </c>
      <c r="S149">
        <f t="shared" si="72"/>
        <v>19167</v>
      </c>
      <c r="T149" s="68">
        <f t="shared" si="73"/>
        <v>2364.8483545320541</v>
      </c>
      <c r="U149" s="68">
        <f t="shared" si="74"/>
        <v>35.151645467945855</v>
      </c>
      <c r="V149" t="str">
        <f t="shared" si="75"/>
        <v>No cut</v>
      </c>
      <c r="W149">
        <f>IF(AND(R149=1,S149&gt;=SC_LT,V149&lt;&gt;0,OR(IF(AND($G$4=$J$4,B149="X"),TRUE,FALSE),IF(AND($G$4=$J$3,A149="X",D149&lt;&gt;$O$4),TRUE,FALSE))),MAX($W$25:W148)+1,0)</f>
        <v>0</v>
      </c>
    </row>
    <row r="150" spans="1:23" x14ac:dyDescent="0.3">
      <c r="A150" s="10"/>
      <c r="B150" s="10"/>
      <c r="C150" t="str">
        <f t="shared" si="59"/>
        <v>51x6-841</v>
      </c>
      <c r="D150" s="39">
        <v>50.8</v>
      </c>
      <c r="E150" s="75">
        <v>6</v>
      </c>
      <c r="F150" s="68">
        <f t="shared" si="60"/>
        <v>840.84743669043633</v>
      </c>
      <c r="G150" s="67">
        <f t="shared" si="61"/>
        <v>139.14123944840605</v>
      </c>
      <c r="H150" s="67">
        <f t="shared" si="62"/>
        <v>131.14123944840605</v>
      </c>
      <c r="I150" s="68">
        <f t="shared" si="63"/>
        <v>461449.07586090924</v>
      </c>
      <c r="J150" s="68">
        <f t="shared" si="64"/>
        <v>33717.143154652455</v>
      </c>
      <c r="K150" s="68">
        <f t="shared" si="65"/>
        <v>3518.7182750583488</v>
      </c>
      <c r="L150" s="69">
        <f t="shared" si="66"/>
        <v>16.532455776818871</v>
      </c>
      <c r="M150" s="39">
        <v>3</v>
      </c>
      <c r="N150" s="30">
        <f t="shared" si="67"/>
        <v>1.1991327118764665</v>
      </c>
      <c r="O150" s="30">
        <f t="shared" si="68"/>
        <v>6.9073438039301296</v>
      </c>
      <c r="P150" s="67">
        <f t="shared" si="69"/>
        <v>124.99999999999999</v>
      </c>
      <c r="Q150" s="67">
        <f t="shared" si="70"/>
        <v>139.14318468224863</v>
      </c>
      <c r="R150">
        <f t="shared" si="71"/>
        <v>1</v>
      </c>
      <c r="S150">
        <f t="shared" si="72"/>
        <v>62500</v>
      </c>
      <c r="T150" s="68">
        <f t="shared" si="73"/>
        <v>3207.8744985420517</v>
      </c>
      <c r="U150" s="68">
        <f t="shared" si="74"/>
        <v>-807.8744985420517</v>
      </c>
      <c r="V150">
        <f t="shared" si="75"/>
        <v>0</v>
      </c>
      <c r="W150">
        <f>IF(AND(R150=1,S150&gt;=SC_LT,V150&lt;&gt;0,OR(IF(AND($G$4=$J$4,B150="X"),TRUE,FALSE),IF(AND($G$4=$J$3,A150="X",D150&lt;&gt;$O$4),TRUE,FALSE))),MAX($W$25:W149)+1,0)</f>
        <v>0</v>
      </c>
    </row>
    <row r="151" spans="1:23" x14ac:dyDescent="0.3">
      <c r="A151" s="10"/>
      <c r="B151" s="10"/>
      <c r="C151" t="str">
        <f t="shared" si="59"/>
        <v>67x6-663</v>
      </c>
      <c r="D151" s="39">
        <v>66.674999999999997</v>
      </c>
      <c r="E151" s="75">
        <v>6</v>
      </c>
      <c r="F151" s="68">
        <f t="shared" si="60"/>
        <v>662.96985764040983</v>
      </c>
      <c r="G151" s="67">
        <f t="shared" si="61"/>
        <v>109.49497627340165</v>
      </c>
      <c r="H151" s="67">
        <f t="shared" si="62"/>
        <v>102.49497627340165</v>
      </c>
      <c r="I151" s="68">
        <f t="shared" si="63"/>
        <v>360650.94611489022</v>
      </c>
      <c r="J151" s="68">
        <f t="shared" si="64"/>
        <v>33717.143154652455</v>
      </c>
      <c r="K151" s="68">
        <f t="shared" si="65"/>
        <v>3518.7182750583488</v>
      </c>
      <c r="L151" s="69">
        <f t="shared" si="66"/>
        <v>16.646096215432824</v>
      </c>
      <c r="M151" s="39">
        <v>3</v>
      </c>
      <c r="N151" s="30">
        <f t="shared" si="67"/>
        <v>1.1991327118764665</v>
      </c>
      <c r="O151" s="30">
        <f t="shared" si="68"/>
        <v>6.9073438039301296</v>
      </c>
      <c r="P151" s="67">
        <f t="shared" si="69"/>
        <v>124.99999999999999</v>
      </c>
      <c r="Q151" s="67">
        <f t="shared" si="70"/>
        <v>139.14318468224863</v>
      </c>
      <c r="R151">
        <f t="shared" si="71"/>
        <v>1</v>
      </c>
      <c r="S151">
        <f t="shared" si="72"/>
        <v>62500</v>
      </c>
      <c r="T151" s="68">
        <f t="shared" si="73"/>
        <v>2674.241761391972</v>
      </c>
      <c r="U151" s="68">
        <f t="shared" si="74"/>
        <v>-274.24176139197198</v>
      </c>
      <c r="V151">
        <f t="shared" si="75"/>
        <v>0</v>
      </c>
      <c r="W151">
        <f>IF(AND(R151=1,S151&gt;=SC_LT,V151&lt;&gt;0,OR(IF(AND($G$4=$J$4,B151="X"),TRUE,FALSE),IF(AND($G$4=$J$3,A151="X",D151&lt;&gt;$O$4),TRUE,FALSE))),MAX($W$25:W150)+1,0)</f>
        <v>0</v>
      </c>
    </row>
    <row r="152" spans="1:23" x14ac:dyDescent="0.3">
      <c r="A152" s="10"/>
      <c r="B152" s="10"/>
      <c r="C152" t="str">
        <f t="shared" si="59"/>
        <v>51x6,5-1222</v>
      </c>
      <c r="D152" s="39">
        <v>50.8</v>
      </c>
      <c r="E152" s="75">
        <v>6.5</v>
      </c>
      <c r="F152" s="68">
        <f t="shared" si="60"/>
        <v>1222.3440198310243</v>
      </c>
      <c r="G152" s="67">
        <f t="shared" si="61"/>
        <v>187.0529261278499</v>
      </c>
      <c r="H152" s="67">
        <f t="shared" si="62"/>
        <v>179.0529261278499</v>
      </c>
      <c r="I152" s="68">
        <f t="shared" si="63"/>
        <v>630036.80336873792</v>
      </c>
      <c r="J152" s="68">
        <f t="shared" si="64"/>
        <v>42059.544271489729</v>
      </c>
      <c r="K152" s="68">
        <f t="shared" si="65"/>
        <v>3518.7182750583488</v>
      </c>
      <c r="L152" s="69">
        <f t="shared" si="66"/>
        <v>26.313372099898245</v>
      </c>
      <c r="M152" s="39">
        <v>3</v>
      </c>
      <c r="N152" s="30">
        <f t="shared" si="67"/>
        <v>1.1991327118764665</v>
      </c>
      <c r="O152" s="30">
        <f t="shared" si="68"/>
        <v>6.9073438039301296</v>
      </c>
      <c r="P152" s="67">
        <f t="shared" si="69"/>
        <v>124.99999999999999</v>
      </c>
      <c r="Q152" s="67">
        <f t="shared" si="70"/>
        <v>139.14318468224863</v>
      </c>
      <c r="R152">
        <f t="shared" si="71"/>
        <v>1</v>
      </c>
      <c r="S152">
        <f t="shared" si="72"/>
        <v>128571</v>
      </c>
      <c r="T152" s="68">
        <f t="shared" si="73"/>
        <v>4362.7252636697103</v>
      </c>
      <c r="U152" s="68">
        <f t="shared" si="74"/>
        <v>-1962.7252636697103</v>
      </c>
      <c r="V152">
        <f t="shared" si="75"/>
        <v>0</v>
      </c>
      <c r="W152">
        <f>IF(AND(R152=1,S152&gt;=SC_LT,V152&lt;&gt;0,OR(IF(AND($G$4=$J$4,B152="X"),TRUE,FALSE),IF(AND($G$4=$J$3,A152="X",D152&lt;&gt;$O$4),TRUE,FALSE))),MAX($W$25:W151)+1,0)</f>
        <v>0</v>
      </c>
    </row>
    <row r="153" spans="1:23" x14ac:dyDescent="0.3">
      <c r="A153" s="10"/>
      <c r="B153" s="10"/>
      <c r="C153" t="str">
        <f t="shared" si="59"/>
        <v>67x6,5-963</v>
      </c>
      <c r="D153" s="39">
        <v>66.674999999999997</v>
      </c>
      <c r="E153" s="75">
        <v>6.5</v>
      </c>
      <c r="F153" s="68">
        <f t="shared" si="60"/>
        <v>963.35308966611126</v>
      </c>
      <c r="G153" s="67">
        <f t="shared" si="61"/>
        <v>147.20816764094019</v>
      </c>
      <c r="H153" s="67">
        <f t="shared" si="62"/>
        <v>140.20816764094019</v>
      </c>
      <c r="I153" s="68">
        <f t="shared" si="63"/>
        <v>493353.04179062089</v>
      </c>
      <c r="J153" s="68">
        <f t="shared" si="64"/>
        <v>42059.544271489729</v>
      </c>
      <c r="K153" s="68">
        <f t="shared" si="65"/>
        <v>3518.7182750583488</v>
      </c>
      <c r="L153" s="69">
        <f t="shared" si="66"/>
        <v>26.445514264700989</v>
      </c>
      <c r="M153" s="39">
        <v>3</v>
      </c>
      <c r="N153" s="30">
        <f t="shared" si="67"/>
        <v>1.1991327118764665</v>
      </c>
      <c r="O153" s="30">
        <f t="shared" si="68"/>
        <v>6.9073438039301296</v>
      </c>
      <c r="P153" s="67">
        <f t="shared" si="69"/>
        <v>124.99999999999999</v>
      </c>
      <c r="Q153" s="67">
        <f t="shared" si="70"/>
        <v>139.14318468224863</v>
      </c>
      <c r="R153">
        <f t="shared" si="71"/>
        <v>1</v>
      </c>
      <c r="S153">
        <f t="shared" si="72"/>
        <v>128571</v>
      </c>
      <c r="T153" s="68">
        <f t="shared" si="73"/>
        <v>3585.7524731749718</v>
      </c>
      <c r="U153" s="68">
        <f t="shared" si="74"/>
        <v>-1185.7524731749718</v>
      </c>
      <c r="V153">
        <f t="shared" si="75"/>
        <v>0</v>
      </c>
      <c r="W153">
        <f>IF(AND(R153=1,S153&gt;=SC_LT,V153&lt;&gt;0,OR(IF(AND($G$4=$J$4,B153="X"),TRUE,FALSE),IF(AND($G$4=$J$3,A153="X",D153&lt;&gt;$O$4),TRUE,FALSE))),MAX($W$25:W152)+1,0)</f>
        <v>0</v>
      </c>
    </row>
    <row r="154" spans="1:23" x14ac:dyDescent="0.3">
      <c r="A154" s="10"/>
      <c r="B154" s="10"/>
      <c r="C154" t="str">
        <f t="shared" si="59"/>
        <v>67x7-1367</v>
      </c>
      <c r="D154" s="39">
        <v>66.674999999999997</v>
      </c>
      <c r="E154" s="75">
        <v>7</v>
      </c>
      <c r="F154" s="68">
        <f t="shared" si="60"/>
        <v>1367.1508888307808</v>
      </c>
      <c r="G154" s="67">
        <f t="shared" si="61"/>
        <v>194.3072698329687</v>
      </c>
      <c r="H154" s="67">
        <f t="shared" si="62"/>
        <v>187.3072698329687</v>
      </c>
      <c r="I154" s="68">
        <f t="shared" si="63"/>
        <v>659081.5134125523</v>
      </c>
      <c r="J154" s="68">
        <f t="shared" si="64"/>
        <v>51857.877233725019</v>
      </c>
      <c r="K154" s="68">
        <f t="shared" si="65"/>
        <v>3518.7182750583488</v>
      </c>
      <c r="L154" s="69">
        <f t="shared" si="66"/>
        <v>40.760165593834692</v>
      </c>
      <c r="M154" s="39">
        <v>3</v>
      </c>
      <c r="N154" s="30">
        <f t="shared" si="67"/>
        <v>1.1991327118764665</v>
      </c>
      <c r="O154" s="30">
        <f t="shared" si="68"/>
        <v>6.9073438039301296</v>
      </c>
      <c r="P154" s="67">
        <f t="shared" si="69"/>
        <v>124.99999999999999</v>
      </c>
      <c r="Q154" s="67">
        <f t="shared" si="70"/>
        <v>139.14318468224863</v>
      </c>
      <c r="R154">
        <f t="shared" si="71"/>
        <v>1</v>
      </c>
      <c r="S154">
        <f t="shared" si="72"/>
        <v>275000</v>
      </c>
      <c r="T154" s="68">
        <f t="shared" si="73"/>
        <v>4807.5068863748747</v>
      </c>
      <c r="U154" s="68">
        <f t="shared" si="74"/>
        <v>-2407.5068863748747</v>
      </c>
      <c r="V154">
        <f t="shared" si="75"/>
        <v>0</v>
      </c>
      <c r="W154">
        <f>IF(AND(R154=1,S154&gt;=SC_LT,V154&lt;&gt;0,OR(IF(AND($G$4=$J$4,B154="X"),TRUE,FALSE),IF(AND($G$4=$J$3,A154="X",D154&lt;&gt;$O$4),TRUE,FALSE))),MAX($W$25:W153)+1,0)</f>
        <v>0</v>
      </c>
    </row>
    <row r="155" spans="1:23" x14ac:dyDescent="0.3">
      <c r="A155" s="10"/>
      <c r="B155" s="10"/>
      <c r="C155" t="str">
        <f t="shared" si="59"/>
        <v>67x7,5-1899</v>
      </c>
      <c r="D155" s="39">
        <v>66.674999999999997</v>
      </c>
      <c r="E155" s="75">
        <v>7.5</v>
      </c>
      <c r="F155" s="68">
        <f t="shared" si="60"/>
        <v>1898.7868113381633</v>
      </c>
      <c r="G155" s="67">
        <f t="shared" si="61"/>
        <v>252.17157484508843</v>
      </c>
      <c r="H155" s="67">
        <f t="shared" si="62"/>
        <v>245.17157484508843</v>
      </c>
      <c r="I155" s="68">
        <f t="shared" si="63"/>
        <v>862689.70093224838</v>
      </c>
      <c r="J155" s="68">
        <f t="shared" si="64"/>
        <v>62540.39672209759</v>
      </c>
      <c r="K155" s="68">
        <f t="shared" si="65"/>
        <v>3518.7182750583488</v>
      </c>
      <c r="L155" s="69">
        <f t="shared" si="66"/>
        <v>61.137387682527887</v>
      </c>
      <c r="M155" s="39">
        <v>3</v>
      </c>
      <c r="N155" s="30">
        <f t="shared" si="67"/>
        <v>1.1991327118764665</v>
      </c>
      <c r="O155" s="30">
        <f t="shared" si="68"/>
        <v>6.9073438039301296</v>
      </c>
      <c r="P155" s="67">
        <f t="shared" si="69"/>
        <v>124.99999999999999</v>
      </c>
      <c r="Q155" s="67">
        <f t="shared" si="70"/>
        <v>139.14318468224863</v>
      </c>
      <c r="R155">
        <f t="shared" si="71"/>
        <v>1</v>
      </c>
      <c r="S155">
        <f t="shared" si="72"/>
        <v>360000</v>
      </c>
      <c r="T155" s="68">
        <f t="shared" si="73"/>
        <v>6412.7756696029173</v>
      </c>
      <c r="U155" s="68">
        <f t="shared" si="74"/>
        <v>-4012.7756696029173</v>
      </c>
      <c r="V155">
        <f t="shared" si="75"/>
        <v>0</v>
      </c>
      <c r="W155">
        <f>IF(AND(R155=1,S155&gt;=SC_LT,V155&lt;&gt;0,OR(IF(AND($G$4=$J$4,B155="X"),TRUE,FALSE),IF(AND($G$4=$J$3,A155="X",D155&lt;&gt;$O$4),TRUE,FALSE))),MAX($W$25:W154)+1,0)</f>
        <v>0</v>
      </c>
    </row>
    <row r="159" spans="1:23" x14ac:dyDescent="0.3">
      <c r="C159" s="70">
        <v>-0.03</v>
      </c>
      <c r="D159" s="71"/>
      <c r="E159" s="72">
        <v>10000</v>
      </c>
    </row>
    <row r="160" spans="1:23" x14ac:dyDescent="0.3">
      <c r="C160" s="70">
        <v>-0.02</v>
      </c>
      <c r="D160" s="71"/>
      <c r="E160" s="71">
        <v>10833</v>
      </c>
    </row>
    <row r="161" spans="3:5" x14ac:dyDescent="0.3">
      <c r="C161" s="70">
        <v>-0.01</v>
      </c>
      <c r="D161" s="71"/>
      <c r="E161" s="71">
        <v>11667</v>
      </c>
    </row>
    <row r="162" spans="3:5" x14ac:dyDescent="0.3">
      <c r="C162" s="70">
        <v>0</v>
      </c>
      <c r="D162" s="71"/>
      <c r="E162" s="72">
        <v>12500</v>
      </c>
    </row>
    <row r="163" spans="3:5" x14ac:dyDescent="0.3">
      <c r="C163" s="70">
        <v>0.01</v>
      </c>
      <c r="D163" s="72">
        <v>1</v>
      </c>
      <c r="E163" s="73">
        <v>13125</v>
      </c>
    </row>
    <row r="164" spans="3:5" x14ac:dyDescent="0.3">
      <c r="C164" s="70">
        <v>0.02</v>
      </c>
      <c r="D164" s="71">
        <v>1</v>
      </c>
      <c r="E164" s="71">
        <v>13750</v>
      </c>
    </row>
    <row r="165" spans="3:5" x14ac:dyDescent="0.3">
      <c r="C165" s="70">
        <v>0.03</v>
      </c>
      <c r="D165" s="71">
        <v>1</v>
      </c>
      <c r="E165" s="73">
        <v>14375</v>
      </c>
    </row>
    <row r="166" spans="3:5" x14ac:dyDescent="0.3">
      <c r="C166" s="70">
        <v>0.04</v>
      </c>
      <c r="D166" s="71">
        <v>1</v>
      </c>
      <c r="E166" s="72">
        <v>15000</v>
      </c>
    </row>
    <row r="167" spans="3:5" x14ac:dyDescent="0.3">
      <c r="C167" s="70">
        <v>0.05</v>
      </c>
      <c r="D167" s="71">
        <v>1</v>
      </c>
      <c r="E167" s="71">
        <v>15833</v>
      </c>
    </row>
    <row r="168" spans="3:5" x14ac:dyDescent="0.3">
      <c r="C168" s="70">
        <v>0.06</v>
      </c>
      <c r="D168" s="71">
        <v>1</v>
      </c>
      <c r="E168" s="71">
        <v>16667</v>
      </c>
    </row>
    <row r="169" spans="3:5" x14ac:dyDescent="0.3">
      <c r="C169" s="70">
        <v>7.0000000000000007E-2</v>
      </c>
      <c r="D169" s="71">
        <v>1</v>
      </c>
      <c r="E169" s="72">
        <v>17500</v>
      </c>
    </row>
    <row r="170" spans="3:5" x14ac:dyDescent="0.3">
      <c r="C170" s="70">
        <v>0.08</v>
      </c>
      <c r="D170" s="71">
        <v>1</v>
      </c>
      <c r="E170" s="71">
        <v>18333</v>
      </c>
    </row>
    <row r="171" spans="3:5" x14ac:dyDescent="0.3">
      <c r="C171" s="70">
        <v>0.09</v>
      </c>
      <c r="D171" s="71">
        <v>1</v>
      </c>
      <c r="E171" s="71">
        <v>19167</v>
      </c>
    </row>
    <row r="172" spans="3:5" x14ac:dyDescent="0.3">
      <c r="C172" s="70">
        <v>0.1</v>
      </c>
      <c r="D172" s="71">
        <v>1</v>
      </c>
      <c r="E172" s="72">
        <v>20000</v>
      </c>
    </row>
    <row r="173" spans="3:5" x14ac:dyDescent="0.3">
      <c r="C173" s="70">
        <v>0.11</v>
      </c>
      <c r="D173" s="71">
        <v>1</v>
      </c>
      <c r="E173" s="71">
        <v>21250</v>
      </c>
    </row>
    <row r="174" spans="3:5" x14ac:dyDescent="0.3">
      <c r="C174" s="70">
        <v>0.12</v>
      </c>
      <c r="D174" s="71">
        <v>1</v>
      </c>
      <c r="E174" s="71">
        <v>22500</v>
      </c>
    </row>
    <row r="175" spans="3:5" x14ac:dyDescent="0.3">
      <c r="C175" s="70">
        <v>0.13</v>
      </c>
      <c r="D175" s="71">
        <v>1</v>
      </c>
      <c r="E175" s="71">
        <v>23750</v>
      </c>
    </row>
    <row r="176" spans="3:5" x14ac:dyDescent="0.3">
      <c r="C176" s="70">
        <v>0.14000000000000001</v>
      </c>
      <c r="D176" s="71">
        <v>1</v>
      </c>
      <c r="E176" s="72">
        <v>25000</v>
      </c>
    </row>
    <row r="177" spans="3:5" x14ac:dyDescent="0.3">
      <c r="C177" s="70">
        <v>0.15</v>
      </c>
      <c r="D177" s="71">
        <v>1</v>
      </c>
      <c r="E177" s="71">
        <v>26667</v>
      </c>
    </row>
    <row r="178" spans="3:5" x14ac:dyDescent="0.3">
      <c r="C178" s="70">
        <v>0.16</v>
      </c>
      <c r="D178" s="71">
        <v>1</v>
      </c>
      <c r="E178" s="71">
        <v>28333</v>
      </c>
    </row>
    <row r="179" spans="3:5" x14ac:dyDescent="0.3">
      <c r="C179" s="70">
        <v>0.17</v>
      </c>
      <c r="D179" s="71">
        <v>1</v>
      </c>
      <c r="E179" s="71">
        <v>30000</v>
      </c>
    </row>
    <row r="180" spans="3:5" x14ac:dyDescent="0.3">
      <c r="C180" s="70">
        <v>0.18</v>
      </c>
      <c r="D180" s="72">
        <v>1</v>
      </c>
      <c r="E180" s="71">
        <v>31667</v>
      </c>
    </row>
    <row r="181" spans="3:5" x14ac:dyDescent="0.3">
      <c r="C181" s="70">
        <v>0.19</v>
      </c>
      <c r="D181" s="71">
        <v>1</v>
      </c>
      <c r="E181" s="71">
        <v>33333</v>
      </c>
    </row>
    <row r="182" spans="3:5" x14ac:dyDescent="0.3">
      <c r="C182" s="70">
        <v>0.2</v>
      </c>
      <c r="D182" s="72">
        <v>1.01</v>
      </c>
      <c r="E182" s="72">
        <v>35000</v>
      </c>
    </row>
    <row r="183" spans="3:5" x14ac:dyDescent="0.3">
      <c r="C183" s="70">
        <v>0.21</v>
      </c>
      <c r="D183" s="71">
        <v>1.01</v>
      </c>
      <c r="E183" s="71">
        <v>38250</v>
      </c>
    </row>
    <row r="184" spans="3:5" x14ac:dyDescent="0.3">
      <c r="C184" s="70">
        <v>0.22</v>
      </c>
      <c r="D184" s="72">
        <v>1.02</v>
      </c>
      <c r="E184" s="71">
        <v>41500</v>
      </c>
    </row>
    <row r="185" spans="3:5" x14ac:dyDescent="0.3">
      <c r="C185" s="70">
        <v>0.23</v>
      </c>
      <c r="D185" s="71">
        <v>1.02</v>
      </c>
      <c r="E185" s="71">
        <v>44750</v>
      </c>
    </row>
    <row r="186" spans="3:5" x14ac:dyDescent="0.3">
      <c r="C186" s="70">
        <v>0.24</v>
      </c>
      <c r="D186" s="72">
        <v>1.03</v>
      </c>
      <c r="E186" s="72">
        <v>50000</v>
      </c>
    </row>
    <row r="187" spans="3:5" x14ac:dyDescent="0.3">
      <c r="C187" s="70">
        <v>0.25</v>
      </c>
      <c r="D187" s="72">
        <v>1.04</v>
      </c>
      <c r="E187" s="71">
        <v>53125</v>
      </c>
    </row>
    <row r="188" spans="3:5" x14ac:dyDescent="0.3">
      <c r="C188" s="70">
        <v>0.26</v>
      </c>
      <c r="D188" s="72">
        <v>1.05</v>
      </c>
      <c r="E188" s="71">
        <v>56250</v>
      </c>
    </row>
    <row r="189" spans="3:5" x14ac:dyDescent="0.3">
      <c r="C189" s="70">
        <v>0.27</v>
      </c>
      <c r="D189" s="71">
        <v>1.05</v>
      </c>
      <c r="E189" s="71">
        <v>59375</v>
      </c>
    </row>
    <row r="190" spans="3:5" x14ac:dyDescent="0.3">
      <c r="C190" s="70">
        <v>0.28000000000000003</v>
      </c>
      <c r="D190" s="72">
        <v>1.06</v>
      </c>
      <c r="E190" s="71">
        <v>62500</v>
      </c>
    </row>
    <row r="191" spans="3:5" x14ac:dyDescent="0.3">
      <c r="C191" s="70">
        <v>0.28999999999999998</v>
      </c>
      <c r="D191" s="71">
        <v>1.06</v>
      </c>
      <c r="E191" s="71">
        <v>65625</v>
      </c>
    </row>
    <row r="192" spans="3:5" x14ac:dyDescent="0.3">
      <c r="C192" s="70">
        <v>0.3</v>
      </c>
      <c r="D192" s="72">
        <v>1.07</v>
      </c>
      <c r="E192" s="71">
        <v>68750</v>
      </c>
    </row>
    <row r="193" spans="3:5" x14ac:dyDescent="0.3">
      <c r="C193" s="70">
        <v>0.31</v>
      </c>
      <c r="D193" s="71">
        <v>1.07</v>
      </c>
      <c r="E193" s="71">
        <v>71875</v>
      </c>
    </row>
    <row r="194" spans="3:5" x14ac:dyDescent="0.3">
      <c r="C194" s="70">
        <v>0.32</v>
      </c>
      <c r="D194" s="72">
        <v>1.08</v>
      </c>
      <c r="E194" s="71">
        <v>75000</v>
      </c>
    </row>
    <row r="195" spans="3:5" x14ac:dyDescent="0.3">
      <c r="C195" s="70">
        <v>0.33</v>
      </c>
      <c r="D195" s="71">
        <v>1.08</v>
      </c>
      <c r="E195" s="71">
        <v>78125</v>
      </c>
    </row>
    <row r="196" spans="3:5" x14ac:dyDescent="0.3">
      <c r="C196" s="70">
        <v>0.34</v>
      </c>
      <c r="D196" s="72">
        <v>1.0900000000000001</v>
      </c>
      <c r="E196" s="71">
        <v>81250</v>
      </c>
    </row>
    <row r="197" spans="3:5" x14ac:dyDescent="0.3">
      <c r="C197" s="70">
        <v>0.35</v>
      </c>
      <c r="D197" s="71">
        <v>1.0900000000000001</v>
      </c>
      <c r="E197" s="71">
        <v>84375</v>
      </c>
    </row>
    <row r="198" spans="3:5" x14ac:dyDescent="0.3">
      <c r="C198" s="70">
        <v>0.36</v>
      </c>
      <c r="D198" s="71">
        <v>1.0900000000000001</v>
      </c>
      <c r="E198" s="71">
        <v>87500</v>
      </c>
    </row>
    <row r="199" spans="3:5" x14ac:dyDescent="0.3">
      <c r="C199" s="70">
        <v>0.37</v>
      </c>
      <c r="D199" s="71">
        <v>1.0900000000000001</v>
      </c>
      <c r="E199" s="71">
        <v>90625</v>
      </c>
    </row>
    <row r="200" spans="3:5" x14ac:dyDescent="0.3">
      <c r="C200" s="70">
        <v>0.38</v>
      </c>
      <c r="D200" s="71">
        <v>1.0900000000000001</v>
      </c>
      <c r="E200" s="71">
        <v>93750</v>
      </c>
    </row>
    <row r="201" spans="3:5" x14ac:dyDescent="0.3">
      <c r="C201" s="70">
        <v>0.39</v>
      </c>
      <c r="D201" s="71">
        <v>1.0900000000000001</v>
      </c>
      <c r="E201" s="71">
        <v>96875</v>
      </c>
    </row>
    <row r="202" spans="3:5" x14ac:dyDescent="0.3">
      <c r="C202" s="70">
        <v>0.4</v>
      </c>
      <c r="D202" s="72">
        <v>1.1000000000000001</v>
      </c>
      <c r="E202" s="72">
        <v>100000</v>
      </c>
    </row>
    <row r="203" spans="3:5" x14ac:dyDescent="0.3">
      <c r="C203" s="70">
        <v>0.41</v>
      </c>
      <c r="D203" s="71">
        <v>1.1000000000000001</v>
      </c>
      <c r="E203" s="71">
        <v>114286</v>
      </c>
    </row>
    <row r="204" spans="3:5" x14ac:dyDescent="0.3">
      <c r="C204" s="70">
        <v>0.42</v>
      </c>
      <c r="D204" s="71">
        <v>1.1000000000000001</v>
      </c>
      <c r="E204" s="71">
        <v>128571</v>
      </c>
    </row>
    <row r="205" spans="3:5" x14ac:dyDescent="0.3">
      <c r="C205" s="70">
        <v>0.43</v>
      </c>
      <c r="D205" s="71">
        <v>1.1000000000000001</v>
      </c>
      <c r="E205" s="71">
        <v>142857</v>
      </c>
    </row>
    <row r="206" spans="3:5" x14ac:dyDescent="0.3">
      <c r="C206" s="70">
        <v>0.44</v>
      </c>
      <c r="D206" s="71">
        <v>1.1000000000000001</v>
      </c>
      <c r="E206" s="71">
        <v>157143</v>
      </c>
    </row>
    <row r="207" spans="3:5" x14ac:dyDescent="0.3">
      <c r="C207" s="70">
        <v>0.45</v>
      </c>
      <c r="D207" s="71">
        <v>1.1000000000000001</v>
      </c>
      <c r="E207" s="71">
        <v>171429</v>
      </c>
    </row>
    <row r="208" spans="3:5" x14ac:dyDescent="0.3">
      <c r="C208" s="70">
        <v>0.46</v>
      </c>
      <c r="D208" s="71">
        <v>1.1000000000000001</v>
      </c>
      <c r="E208" s="71">
        <v>185714</v>
      </c>
    </row>
    <row r="209" spans="3:5" x14ac:dyDescent="0.3">
      <c r="C209" s="70">
        <v>0.47</v>
      </c>
      <c r="D209" s="71">
        <v>1.1000000000000001</v>
      </c>
      <c r="E209" s="72">
        <v>200000</v>
      </c>
    </row>
    <row r="210" spans="3:5" x14ac:dyDescent="0.3">
      <c r="C210" s="70">
        <v>0.48</v>
      </c>
      <c r="D210" s="71">
        <v>1.1000000000000001</v>
      </c>
      <c r="E210" s="71">
        <v>212500</v>
      </c>
    </row>
    <row r="211" spans="3:5" x14ac:dyDescent="0.3">
      <c r="C211" s="70">
        <v>0.49</v>
      </c>
      <c r="D211" s="71">
        <v>1.1000000000000001</v>
      </c>
      <c r="E211" s="71">
        <v>225000</v>
      </c>
    </row>
    <row r="212" spans="3:5" x14ac:dyDescent="0.3">
      <c r="C212" s="70">
        <v>0.5</v>
      </c>
      <c r="D212" s="72">
        <v>1.1100000000000001</v>
      </c>
      <c r="E212" s="71">
        <v>237500</v>
      </c>
    </row>
    <row r="213" spans="3:5" x14ac:dyDescent="0.3">
      <c r="C213" s="70">
        <v>0.51</v>
      </c>
      <c r="D213" s="71">
        <v>1.1100000000000001</v>
      </c>
      <c r="E213" s="71">
        <v>250000</v>
      </c>
    </row>
    <row r="214" spans="3:5" x14ac:dyDescent="0.3">
      <c r="C214" s="70">
        <v>0.52</v>
      </c>
      <c r="D214" s="71">
        <v>1.1100000000000001</v>
      </c>
      <c r="E214" s="71">
        <v>262500</v>
      </c>
    </row>
    <row r="215" spans="3:5" x14ac:dyDescent="0.3">
      <c r="C215" s="70">
        <v>0.53</v>
      </c>
      <c r="D215" s="71">
        <v>1.1100000000000001</v>
      </c>
      <c r="E215" s="71">
        <v>275000</v>
      </c>
    </row>
    <row r="216" spans="3:5" x14ac:dyDescent="0.3">
      <c r="C216" s="70">
        <v>0.54</v>
      </c>
      <c r="D216" s="71">
        <v>1.1100000000000001</v>
      </c>
      <c r="E216" s="71">
        <v>287500</v>
      </c>
    </row>
    <row r="217" spans="3:5" x14ac:dyDescent="0.3">
      <c r="C217" s="70">
        <v>0.55000000000000004</v>
      </c>
      <c r="D217" s="71">
        <v>1.1100000000000001</v>
      </c>
      <c r="E217" s="72">
        <v>300000</v>
      </c>
    </row>
    <row r="218" spans="3:5" x14ac:dyDescent="0.3">
      <c r="C218" s="70">
        <v>0.56000000000000005</v>
      </c>
      <c r="D218" s="71">
        <v>1.1100000000000001</v>
      </c>
      <c r="E218" s="73">
        <v>310000</v>
      </c>
    </row>
    <row r="219" spans="3:5" x14ac:dyDescent="0.3">
      <c r="C219" s="70">
        <v>0.56999999999999995</v>
      </c>
      <c r="D219" s="71">
        <v>1.1100000000000001</v>
      </c>
      <c r="E219" s="71">
        <v>320000</v>
      </c>
    </row>
    <row r="220" spans="3:5" x14ac:dyDescent="0.3">
      <c r="C220" s="70">
        <v>0.57999999999999996</v>
      </c>
      <c r="D220" s="71">
        <v>1.1100000000000001</v>
      </c>
      <c r="E220" s="71">
        <v>330000</v>
      </c>
    </row>
    <row r="221" spans="3:5" x14ac:dyDescent="0.3">
      <c r="C221" s="70">
        <v>0.59</v>
      </c>
      <c r="D221" s="71">
        <v>1.1100000000000001</v>
      </c>
      <c r="E221" s="71">
        <v>340000</v>
      </c>
    </row>
    <row r="222" spans="3:5" x14ac:dyDescent="0.3">
      <c r="C222" s="70">
        <v>0.6</v>
      </c>
      <c r="D222" s="71">
        <v>1.1100000000000001</v>
      </c>
      <c r="E222" s="71">
        <v>350000</v>
      </c>
    </row>
    <row r="223" spans="3:5" x14ac:dyDescent="0.3">
      <c r="C223" s="70">
        <v>0.61</v>
      </c>
      <c r="D223" s="71">
        <v>1.1100000000000001</v>
      </c>
      <c r="E223" s="71">
        <v>360000</v>
      </c>
    </row>
    <row r="224" spans="3:5" x14ac:dyDescent="0.3">
      <c r="C224" s="70">
        <v>0.62</v>
      </c>
      <c r="D224" s="71">
        <v>1.1100000000000001</v>
      </c>
      <c r="E224" s="71">
        <v>370000</v>
      </c>
    </row>
    <row r="225" spans="3:5" x14ac:dyDescent="0.3">
      <c r="C225" s="70">
        <v>0.63</v>
      </c>
      <c r="D225" s="71">
        <v>1.1100000000000001</v>
      </c>
      <c r="E225" s="71">
        <v>380000</v>
      </c>
    </row>
    <row r="226" spans="3:5" x14ac:dyDescent="0.3">
      <c r="C226" s="70">
        <v>0.64</v>
      </c>
      <c r="D226" s="71">
        <v>1.1100000000000001</v>
      </c>
      <c r="E226" s="71">
        <v>390000</v>
      </c>
    </row>
    <row r="227" spans="3:5" x14ac:dyDescent="0.3">
      <c r="C227" s="70">
        <v>0.65</v>
      </c>
      <c r="D227" s="71">
        <v>1.1100000000000001</v>
      </c>
      <c r="E227" s="71">
        <v>400000</v>
      </c>
    </row>
    <row r="228" spans="3:5" x14ac:dyDescent="0.3">
      <c r="C228" s="70">
        <v>0.66</v>
      </c>
      <c r="D228" s="71">
        <v>1.1100000000000001</v>
      </c>
      <c r="E228" s="71">
        <v>410000</v>
      </c>
    </row>
    <row r="229" spans="3:5" x14ac:dyDescent="0.3">
      <c r="C229" s="70">
        <v>0.67</v>
      </c>
      <c r="D229" s="71">
        <v>1.1100000000000001</v>
      </c>
      <c r="E229" s="71">
        <v>420000</v>
      </c>
    </row>
    <row r="230" spans="3:5" x14ac:dyDescent="0.3">
      <c r="C230" s="70">
        <v>0.68</v>
      </c>
      <c r="D230" s="71">
        <v>1.1100000000000001</v>
      </c>
      <c r="E230" s="71">
        <v>430000</v>
      </c>
    </row>
    <row r="231" spans="3:5" x14ac:dyDescent="0.3">
      <c r="C231" s="70">
        <v>0.69</v>
      </c>
      <c r="D231" s="71">
        <v>1.1100000000000001</v>
      </c>
      <c r="E231" s="71">
        <v>440000</v>
      </c>
    </row>
    <row r="232" spans="3:5" x14ac:dyDescent="0.3">
      <c r="C232" s="70">
        <v>0.7</v>
      </c>
      <c r="D232" s="71">
        <v>1.1100000000000001</v>
      </c>
      <c r="E232" s="71">
        <v>450000</v>
      </c>
    </row>
    <row r="233" spans="3:5" x14ac:dyDescent="0.3">
      <c r="C233" s="70">
        <v>0.71</v>
      </c>
      <c r="D233" s="71">
        <v>1.1100000000000001</v>
      </c>
      <c r="E233" s="71">
        <v>460000</v>
      </c>
    </row>
    <row r="234" spans="3:5" x14ac:dyDescent="0.3">
      <c r="C234" s="70">
        <v>0.72</v>
      </c>
      <c r="D234" s="71">
        <v>1.1100000000000001</v>
      </c>
      <c r="E234" s="71">
        <v>470000</v>
      </c>
    </row>
    <row r="235" spans="3:5" x14ac:dyDescent="0.3">
      <c r="C235" s="70">
        <v>0.73</v>
      </c>
      <c r="D235" s="71">
        <v>1.1100000000000001</v>
      </c>
      <c r="E235" s="71">
        <v>480000</v>
      </c>
    </row>
    <row r="236" spans="3:5" x14ac:dyDescent="0.3">
      <c r="C236" s="70">
        <v>0.74</v>
      </c>
      <c r="D236" s="71">
        <v>1.1100000000000001</v>
      </c>
      <c r="E236" s="71">
        <v>490000</v>
      </c>
    </row>
    <row r="237" spans="3:5" x14ac:dyDescent="0.3">
      <c r="C237" s="70">
        <v>0.75</v>
      </c>
      <c r="D237" s="71">
        <v>1.1100000000000001</v>
      </c>
      <c r="E237" s="71">
        <v>500000</v>
      </c>
    </row>
    <row r="238" spans="3:5" x14ac:dyDescent="0.3">
      <c r="C238" s="70">
        <v>0.76</v>
      </c>
      <c r="D238" s="71">
        <v>1.1100000000000001</v>
      </c>
      <c r="E238" s="71">
        <v>510000</v>
      </c>
    </row>
    <row r="239" spans="3:5" x14ac:dyDescent="0.3">
      <c r="C239" s="70">
        <v>0.77</v>
      </c>
      <c r="D239" s="71">
        <v>1.1100000000000001</v>
      </c>
      <c r="E239" s="71">
        <v>520000</v>
      </c>
    </row>
    <row r="240" spans="3:5" x14ac:dyDescent="0.3">
      <c r="C240" s="70">
        <v>0.78</v>
      </c>
      <c r="D240" s="71">
        <v>1.1100000000000001</v>
      </c>
      <c r="E240" s="71">
        <v>530000</v>
      </c>
    </row>
    <row r="241" spans="3:5" x14ac:dyDescent="0.3">
      <c r="C241" s="70">
        <v>0.79</v>
      </c>
      <c r="D241" s="71">
        <v>1.1100000000000001</v>
      </c>
      <c r="E241" s="71">
        <v>540000</v>
      </c>
    </row>
    <row r="242" spans="3:5" x14ac:dyDescent="0.3">
      <c r="C242" s="70">
        <v>0.8</v>
      </c>
      <c r="D242" s="71">
        <v>1.1100000000000001</v>
      </c>
      <c r="E242" s="71">
        <v>550000</v>
      </c>
    </row>
    <row r="243" spans="3:5" x14ac:dyDescent="0.3">
      <c r="C243" s="70">
        <v>0.81</v>
      </c>
      <c r="D243" s="71">
        <v>1.1100000000000001</v>
      </c>
      <c r="E243" s="71">
        <v>560000</v>
      </c>
    </row>
    <row r="244" spans="3:5" x14ac:dyDescent="0.3">
      <c r="C244" s="70">
        <v>0.82</v>
      </c>
      <c r="D244" s="71">
        <v>1.1100000000000001</v>
      </c>
      <c r="E244" s="71">
        <v>570000</v>
      </c>
    </row>
    <row r="245" spans="3:5" x14ac:dyDescent="0.3">
      <c r="C245" s="70">
        <v>0.83</v>
      </c>
      <c r="D245" s="71">
        <v>1.1100000000000001</v>
      </c>
      <c r="E245" s="71">
        <v>580000</v>
      </c>
    </row>
    <row r="246" spans="3:5" x14ac:dyDescent="0.3">
      <c r="C246" s="70">
        <v>0.84</v>
      </c>
      <c r="D246" s="71">
        <v>1.1100000000000001</v>
      </c>
      <c r="E246" s="71">
        <v>590000</v>
      </c>
    </row>
    <row r="247" spans="3:5" x14ac:dyDescent="0.3">
      <c r="C247" s="70">
        <v>0.85</v>
      </c>
      <c r="D247" s="71">
        <v>1.1100000000000001</v>
      </c>
      <c r="E247" s="71">
        <v>600000</v>
      </c>
    </row>
    <row r="248" spans="3:5" x14ac:dyDescent="0.3">
      <c r="C248" s="70">
        <v>0.86</v>
      </c>
      <c r="D248" s="71">
        <v>1.1100000000000001</v>
      </c>
      <c r="E248" s="71">
        <v>610000</v>
      </c>
    </row>
    <row r="249" spans="3:5" x14ac:dyDescent="0.3">
      <c r="C249" s="70">
        <v>0.87</v>
      </c>
      <c r="D249" s="71">
        <v>1.1100000000000001</v>
      </c>
      <c r="E249" s="71">
        <v>620000</v>
      </c>
    </row>
    <row r="250" spans="3:5" x14ac:dyDescent="0.3">
      <c r="C250" s="70">
        <v>0.88</v>
      </c>
      <c r="D250" s="71">
        <v>1.1100000000000001</v>
      </c>
      <c r="E250" s="71">
        <v>630000</v>
      </c>
    </row>
    <row r="251" spans="3:5" x14ac:dyDescent="0.3">
      <c r="C251" s="70">
        <v>0.89</v>
      </c>
      <c r="D251" s="71">
        <v>1.1100000000000001</v>
      </c>
      <c r="E251" s="71">
        <v>640000</v>
      </c>
    </row>
    <row r="252" spans="3:5" x14ac:dyDescent="0.3">
      <c r="C252" s="70">
        <v>0.9</v>
      </c>
      <c r="D252" s="71">
        <v>1.1100000000000001</v>
      </c>
      <c r="E252" s="71">
        <v>650000</v>
      </c>
    </row>
    <row r="253" spans="3:5" x14ac:dyDescent="0.3">
      <c r="C253" s="70">
        <v>0.91</v>
      </c>
      <c r="D253" s="71">
        <v>1.1100000000000001</v>
      </c>
      <c r="E253" s="71">
        <v>660000</v>
      </c>
    </row>
    <row r="254" spans="3:5" x14ac:dyDescent="0.3">
      <c r="C254" s="70">
        <v>0.92</v>
      </c>
      <c r="D254" s="71">
        <v>1.1100000000000001</v>
      </c>
      <c r="E254" s="71">
        <v>670000</v>
      </c>
    </row>
    <row r="255" spans="3:5" x14ac:dyDescent="0.3">
      <c r="C255" s="70">
        <v>0.93</v>
      </c>
      <c r="D255" s="71">
        <v>1.1100000000000001</v>
      </c>
      <c r="E255" s="71">
        <v>680000</v>
      </c>
    </row>
    <row r="256" spans="3:5" x14ac:dyDescent="0.3">
      <c r="C256" s="70">
        <v>0.94</v>
      </c>
      <c r="D256" s="71">
        <v>1.1100000000000001</v>
      </c>
      <c r="E256" s="71">
        <v>690000</v>
      </c>
    </row>
    <row r="257" spans="3:5" x14ac:dyDescent="0.3">
      <c r="C257" s="70">
        <v>0.95</v>
      </c>
      <c r="D257" s="71">
        <v>1.1100000000000001</v>
      </c>
      <c r="E257" s="71">
        <v>700000</v>
      </c>
    </row>
    <row r="258" spans="3:5" x14ac:dyDescent="0.3">
      <c r="C258" s="70">
        <v>0.96</v>
      </c>
      <c r="D258" s="71">
        <v>1.1100000000000001</v>
      </c>
      <c r="E258" s="71">
        <v>710000</v>
      </c>
    </row>
    <row r="259" spans="3:5" x14ac:dyDescent="0.3">
      <c r="C259" s="70">
        <v>0.97</v>
      </c>
      <c r="D259" s="71">
        <v>1.1100000000000001</v>
      </c>
      <c r="E259" s="71">
        <v>720000</v>
      </c>
    </row>
    <row r="260" spans="3:5" x14ac:dyDescent="0.3">
      <c r="C260" s="70">
        <v>0.98</v>
      </c>
      <c r="D260" s="71">
        <v>1.1100000000000001</v>
      </c>
      <c r="E260" s="71">
        <v>730000</v>
      </c>
    </row>
    <row r="261" spans="3:5" x14ac:dyDescent="0.3">
      <c r="C261" s="70">
        <v>0.99</v>
      </c>
      <c r="D261" s="71">
        <v>1.1100000000000001</v>
      </c>
      <c r="E261" s="71">
        <v>740000</v>
      </c>
    </row>
    <row r="262" spans="3:5" x14ac:dyDescent="0.3">
      <c r="C262" s="70">
        <v>1</v>
      </c>
      <c r="D262" s="72">
        <v>1.1100000000000001</v>
      </c>
      <c r="E262" s="71">
        <v>750000</v>
      </c>
    </row>
  </sheetData>
  <autoFilter ref="A25:M25" xr:uid="{C72080CA-F254-41AA-A19C-BF1F9DBE2E23}"/>
  <conditionalFormatting sqref="R26:R155 V26:W155">
    <cfRule type="cellIs" dxfId="2" priority="3" operator="notEqual">
      <formula>0</formula>
    </cfRule>
  </conditionalFormatting>
  <conditionalFormatting sqref="S26:S155">
    <cfRule type="cellIs" dxfId="1" priority="2" operator="greaterThanOrEqual">
      <formula>SC_LT</formula>
    </cfRule>
  </conditionalFormatting>
  <conditionalFormatting sqref="T26:T155">
    <cfRule type="cellIs" dxfId="0" priority="1" operator="lessThanOrEqual">
      <formula>SC_DW</formula>
    </cfRule>
  </conditionalFormatting>
  <dataValidations disablePrompts="1" count="1">
    <dataValidation type="list" allowBlank="1" showInputMessage="1" showErrorMessage="1" sqref="G4" xr:uid="{CCCB9944-41E9-48B2-83ED-AD8E682804CA}">
      <formula1>$J$3:$J$4</formula1>
    </dataValidation>
  </dataValidations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0C240-2E59-40FB-BDEB-1429C8D39B73}">
  <sheetPr codeName="Blad3"/>
  <dimension ref="A2:C16"/>
  <sheetViews>
    <sheetView workbookViewId="0">
      <selection activeCell="J15" sqref="J15"/>
    </sheetView>
  </sheetViews>
  <sheetFormatPr defaultRowHeight="14.4" x14ac:dyDescent="0.3"/>
  <cols>
    <col min="1" max="1" width="14.33203125" bestFit="1" customWidth="1"/>
    <col min="2" max="2" width="9.33203125" bestFit="1" customWidth="1"/>
  </cols>
  <sheetData>
    <row r="2" spans="1:3" x14ac:dyDescent="0.3">
      <c r="A2" t="s">
        <v>183</v>
      </c>
      <c r="B2" s="76">
        <f ca="1">TODAY()</f>
        <v>44967</v>
      </c>
    </row>
    <row r="4" spans="1:3" x14ac:dyDescent="0.3">
      <c r="A4" t="s">
        <v>184</v>
      </c>
      <c r="B4" s="80">
        <v>44966</v>
      </c>
    </row>
    <row r="5" spans="1:3" x14ac:dyDescent="0.3">
      <c r="A5" t="s">
        <v>182</v>
      </c>
      <c r="B5" s="80">
        <f>B4+365</f>
        <v>45331</v>
      </c>
    </row>
    <row r="7" spans="1:3" x14ac:dyDescent="0.3">
      <c r="A7" t="s">
        <v>185</v>
      </c>
      <c r="B7" s="17">
        <f ca="1">B2-B4</f>
        <v>1</v>
      </c>
    </row>
    <row r="9" spans="1:3" x14ac:dyDescent="0.3">
      <c r="A9" t="s">
        <v>186</v>
      </c>
      <c r="B9" t="s">
        <v>189</v>
      </c>
    </row>
    <row r="10" spans="1:3" x14ac:dyDescent="0.3">
      <c r="B10" t="s">
        <v>188</v>
      </c>
    </row>
    <row r="11" spans="1:3" x14ac:dyDescent="0.3">
      <c r="B11" s="81" t="s">
        <v>187</v>
      </c>
    </row>
    <row r="13" spans="1:3" x14ac:dyDescent="0.3">
      <c r="A13" t="s">
        <v>283</v>
      </c>
      <c r="B13" t="s">
        <v>284</v>
      </c>
    </row>
    <row r="15" spans="1:3" x14ac:dyDescent="0.3">
      <c r="A15" t="s">
        <v>285</v>
      </c>
      <c r="B15" s="76">
        <v>44256</v>
      </c>
      <c r="C15" t="s">
        <v>286</v>
      </c>
    </row>
    <row r="16" spans="1:3" x14ac:dyDescent="0.3">
      <c r="A16" t="s">
        <v>287</v>
      </c>
      <c r="B16" s="76">
        <v>43870</v>
      </c>
      <c r="C16" t="s">
        <v>288</v>
      </c>
    </row>
  </sheetData>
  <hyperlinks>
    <hyperlink ref="B11" r:id="rId1" xr:uid="{49E223E9-891F-47D6-AB85-9DCA286A14A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93F5C-768B-4478-BD74-1F2B94CD1580}">
  <sheetPr codeName="Blad2"/>
  <dimension ref="B1:BT133"/>
  <sheetViews>
    <sheetView zoomScale="85" zoomScaleNormal="85" workbookViewId="0">
      <selection activeCell="K35" sqref="K35"/>
    </sheetView>
  </sheetViews>
  <sheetFormatPr defaultRowHeight="14.4" x14ac:dyDescent="0.3"/>
  <cols>
    <col min="1" max="2" width="8.88671875" style="78"/>
    <col min="3" max="72" width="15.77734375" style="78" customWidth="1"/>
    <col min="73" max="16384" width="8.88671875" style="78"/>
  </cols>
  <sheetData>
    <row r="1" spans="2:72" x14ac:dyDescent="0.3">
      <c r="BT1" s="78">
        <f>COLUMN()</f>
        <v>72</v>
      </c>
    </row>
    <row r="2" spans="2:72" x14ac:dyDescent="0.3">
      <c r="B2" s="79" t="s">
        <v>179</v>
      </c>
      <c r="C2" s="79">
        <v>1775</v>
      </c>
      <c r="D2" s="79">
        <f>C2+25</f>
        <v>1800</v>
      </c>
      <c r="E2" s="79">
        <f t="shared" ref="E2:BP2" si="0">D2+25</f>
        <v>1825</v>
      </c>
      <c r="F2" s="79">
        <f t="shared" si="0"/>
        <v>1850</v>
      </c>
      <c r="G2" s="79">
        <f t="shared" si="0"/>
        <v>1875</v>
      </c>
      <c r="H2" s="79">
        <f t="shared" si="0"/>
        <v>1900</v>
      </c>
      <c r="I2" s="79">
        <f t="shared" si="0"/>
        <v>1925</v>
      </c>
      <c r="J2" s="79">
        <f t="shared" si="0"/>
        <v>1950</v>
      </c>
      <c r="K2" s="79">
        <f t="shared" si="0"/>
        <v>1975</v>
      </c>
      <c r="L2" s="79">
        <f t="shared" si="0"/>
        <v>2000</v>
      </c>
      <c r="M2" s="79">
        <f t="shared" si="0"/>
        <v>2025</v>
      </c>
      <c r="N2" s="79">
        <f t="shared" si="0"/>
        <v>2050</v>
      </c>
      <c r="O2" s="79">
        <f t="shared" si="0"/>
        <v>2075</v>
      </c>
      <c r="P2" s="79">
        <f t="shared" si="0"/>
        <v>2100</v>
      </c>
      <c r="Q2" s="79">
        <f t="shared" si="0"/>
        <v>2125</v>
      </c>
      <c r="R2" s="79">
        <f t="shared" si="0"/>
        <v>2150</v>
      </c>
      <c r="S2" s="79">
        <f t="shared" si="0"/>
        <v>2175</v>
      </c>
      <c r="T2" s="79">
        <f t="shared" si="0"/>
        <v>2200</v>
      </c>
      <c r="U2" s="79">
        <f t="shared" si="0"/>
        <v>2225</v>
      </c>
      <c r="V2" s="79">
        <f t="shared" si="0"/>
        <v>2250</v>
      </c>
      <c r="W2" s="79">
        <f t="shared" si="0"/>
        <v>2275</v>
      </c>
      <c r="X2" s="79">
        <f t="shared" si="0"/>
        <v>2300</v>
      </c>
      <c r="Y2" s="79">
        <f t="shared" si="0"/>
        <v>2325</v>
      </c>
      <c r="Z2" s="79">
        <f t="shared" si="0"/>
        <v>2350</v>
      </c>
      <c r="AA2" s="79">
        <f t="shared" si="0"/>
        <v>2375</v>
      </c>
      <c r="AB2" s="79">
        <f t="shared" si="0"/>
        <v>2400</v>
      </c>
      <c r="AC2" s="79">
        <f t="shared" si="0"/>
        <v>2425</v>
      </c>
      <c r="AD2" s="79">
        <f t="shared" si="0"/>
        <v>2450</v>
      </c>
      <c r="AE2" s="79">
        <f t="shared" si="0"/>
        <v>2475</v>
      </c>
      <c r="AF2" s="79">
        <f t="shared" si="0"/>
        <v>2500</v>
      </c>
      <c r="AG2" s="79">
        <f t="shared" si="0"/>
        <v>2525</v>
      </c>
      <c r="AH2" s="79">
        <f t="shared" si="0"/>
        <v>2550</v>
      </c>
      <c r="AI2" s="79">
        <f t="shared" si="0"/>
        <v>2575</v>
      </c>
      <c r="AJ2" s="79">
        <f t="shared" si="0"/>
        <v>2600</v>
      </c>
      <c r="AK2" s="79">
        <f t="shared" si="0"/>
        <v>2625</v>
      </c>
      <c r="AL2" s="79">
        <f t="shared" si="0"/>
        <v>2650</v>
      </c>
      <c r="AM2" s="79">
        <f t="shared" si="0"/>
        <v>2675</v>
      </c>
      <c r="AN2" s="79">
        <f t="shared" si="0"/>
        <v>2700</v>
      </c>
      <c r="AO2" s="79">
        <f t="shared" si="0"/>
        <v>2725</v>
      </c>
      <c r="AP2" s="79">
        <f t="shared" si="0"/>
        <v>2750</v>
      </c>
      <c r="AQ2" s="79">
        <f t="shared" si="0"/>
        <v>2775</v>
      </c>
      <c r="AR2" s="79">
        <f t="shared" si="0"/>
        <v>2800</v>
      </c>
      <c r="AS2" s="79">
        <f t="shared" si="0"/>
        <v>2825</v>
      </c>
      <c r="AT2" s="79">
        <f t="shared" si="0"/>
        <v>2850</v>
      </c>
      <c r="AU2" s="79">
        <f t="shared" si="0"/>
        <v>2875</v>
      </c>
      <c r="AV2" s="79">
        <f>AU2+25</f>
        <v>2900</v>
      </c>
      <c r="AW2" s="79">
        <f t="shared" si="0"/>
        <v>2925</v>
      </c>
      <c r="AX2" s="79">
        <f t="shared" si="0"/>
        <v>2950</v>
      </c>
      <c r="AY2" s="79">
        <f t="shared" si="0"/>
        <v>2975</v>
      </c>
      <c r="AZ2" s="79">
        <f t="shared" si="0"/>
        <v>3000</v>
      </c>
      <c r="BA2" s="79">
        <f t="shared" si="0"/>
        <v>3025</v>
      </c>
      <c r="BB2" s="79">
        <f t="shared" si="0"/>
        <v>3050</v>
      </c>
      <c r="BC2" s="79">
        <f t="shared" si="0"/>
        <v>3075</v>
      </c>
      <c r="BD2" s="79">
        <f t="shared" si="0"/>
        <v>3100</v>
      </c>
      <c r="BE2" s="79">
        <f t="shared" si="0"/>
        <v>3125</v>
      </c>
      <c r="BF2" s="79">
        <f t="shared" si="0"/>
        <v>3150</v>
      </c>
      <c r="BG2" s="79">
        <f t="shared" si="0"/>
        <v>3175</v>
      </c>
      <c r="BH2" s="79">
        <f t="shared" si="0"/>
        <v>3200</v>
      </c>
      <c r="BI2" s="79">
        <f t="shared" si="0"/>
        <v>3225</v>
      </c>
      <c r="BJ2" s="79">
        <f t="shared" si="0"/>
        <v>3250</v>
      </c>
      <c r="BK2" s="79">
        <f t="shared" si="0"/>
        <v>3275</v>
      </c>
      <c r="BL2" s="79">
        <f t="shared" si="0"/>
        <v>3300</v>
      </c>
      <c r="BM2" s="79">
        <f t="shared" si="0"/>
        <v>3325</v>
      </c>
      <c r="BN2" s="79">
        <f t="shared" si="0"/>
        <v>3350</v>
      </c>
      <c r="BO2" s="79">
        <f t="shared" si="0"/>
        <v>3375</v>
      </c>
      <c r="BP2" s="79">
        <f t="shared" si="0"/>
        <v>3400</v>
      </c>
      <c r="BQ2" s="79">
        <f t="shared" ref="BQ2:BT2" si="1">BP2+25</f>
        <v>3425</v>
      </c>
      <c r="BR2" s="79">
        <f t="shared" si="1"/>
        <v>3450</v>
      </c>
      <c r="BS2" s="79">
        <f t="shared" si="1"/>
        <v>3475</v>
      </c>
      <c r="BT2" s="79">
        <f t="shared" si="1"/>
        <v>3500</v>
      </c>
    </row>
    <row r="3" spans="2:72" x14ac:dyDescent="0.3">
      <c r="B3" s="79">
        <v>40</v>
      </c>
      <c r="C3" s="79" t="s">
        <v>191</v>
      </c>
      <c r="D3" s="79" t="s">
        <v>191</v>
      </c>
      <c r="E3" s="79" t="s">
        <v>191</v>
      </c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</row>
    <row r="4" spans="2:72" x14ac:dyDescent="0.3">
      <c r="B4" s="79">
        <f>B3+2</f>
        <v>42</v>
      </c>
      <c r="C4" s="79" t="s">
        <v>192</v>
      </c>
      <c r="D4" s="79" t="s">
        <v>191</v>
      </c>
      <c r="E4" s="79" t="s">
        <v>191</v>
      </c>
      <c r="F4" s="79" t="s">
        <v>191</v>
      </c>
      <c r="G4" s="79" t="s">
        <v>191</v>
      </c>
      <c r="H4" s="79" t="s">
        <v>191</v>
      </c>
      <c r="I4" s="79" t="s">
        <v>191</v>
      </c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</row>
    <row r="5" spans="2:72" x14ac:dyDescent="0.3">
      <c r="B5" s="79">
        <f t="shared" ref="B5:B68" si="2">B4+2</f>
        <v>44</v>
      </c>
      <c r="C5" s="79" t="s">
        <v>192</v>
      </c>
      <c r="D5" s="79" t="s">
        <v>192</v>
      </c>
      <c r="E5" s="79" t="s">
        <v>192</v>
      </c>
      <c r="F5" s="79" t="s">
        <v>192</v>
      </c>
      <c r="G5" s="79" t="s">
        <v>191</v>
      </c>
      <c r="H5" s="79" t="s">
        <v>191</v>
      </c>
      <c r="I5" s="79" t="s">
        <v>191</v>
      </c>
      <c r="J5" s="79" t="s">
        <v>191</v>
      </c>
      <c r="K5" s="79" t="s">
        <v>191</v>
      </c>
      <c r="L5" s="79" t="s">
        <v>191</v>
      </c>
      <c r="M5" s="79" t="s">
        <v>191</v>
      </c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</row>
    <row r="6" spans="2:72" x14ac:dyDescent="0.3">
      <c r="B6" s="79">
        <f t="shared" si="2"/>
        <v>46</v>
      </c>
      <c r="C6" s="79" t="s">
        <v>193</v>
      </c>
      <c r="D6" s="79" t="s">
        <v>193</v>
      </c>
      <c r="E6" s="79" t="s">
        <v>192</v>
      </c>
      <c r="F6" s="79" t="s">
        <v>192</v>
      </c>
      <c r="G6" s="79" t="s">
        <v>192</v>
      </c>
      <c r="H6" s="79" t="s">
        <v>192</v>
      </c>
      <c r="I6" s="79" t="s">
        <v>192</v>
      </c>
      <c r="J6" s="79" t="s">
        <v>192</v>
      </c>
      <c r="K6" s="79" t="s">
        <v>191</v>
      </c>
      <c r="L6" s="79" t="s">
        <v>191</v>
      </c>
      <c r="M6" s="79" t="s">
        <v>191</v>
      </c>
      <c r="N6" s="79" t="s">
        <v>191</v>
      </c>
      <c r="O6" s="79" t="s">
        <v>191</v>
      </c>
      <c r="P6" s="79" t="s">
        <v>191</v>
      </c>
      <c r="Q6" s="79" t="s">
        <v>191</v>
      </c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</row>
    <row r="7" spans="2:72" x14ac:dyDescent="0.3">
      <c r="B7" s="79">
        <f t="shared" si="2"/>
        <v>48</v>
      </c>
      <c r="C7" s="79" t="s">
        <v>193</v>
      </c>
      <c r="D7" s="79" t="s">
        <v>193</v>
      </c>
      <c r="E7" s="79" t="s">
        <v>193</v>
      </c>
      <c r="F7" s="79" t="s">
        <v>193</v>
      </c>
      <c r="G7" s="79" t="s">
        <v>193</v>
      </c>
      <c r="H7" s="79" t="s">
        <v>192</v>
      </c>
      <c r="I7" s="79" t="s">
        <v>192</v>
      </c>
      <c r="J7" s="79" t="s">
        <v>192</v>
      </c>
      <c r="K7" s="79" t="s">
        <v>192</v>
      </c>
      <c r="L7" s="79" t="s">
        <v>192</v>
      </c>
      <c r="M7" s="79" t="s">
        <v>192</v>
      </c>
      <c r="N7" s="79" t="s">
        <v>192</v>
      </c>
      <c r="O7" s="79" t="s">
        <v>191</v>
      </c>
      <c r="P7" s="79" t="s">
        <v>191</v>
      </c>
      <c r="Q7" s="79" t="s">
        <v>191</v>
      </c>
      <c r="R7" s="79" t="s">
        <v>191</v>
      </c>
      <c r="S7" s="79" t="s">
        <v>191</v>
      </c>
      <c r="T7" s="79" t="s">
        <v>191</v>
      </c>
      <c r="U7" s="79" t="s">
        <v>191</v>
      </c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</row>
    <row r="8" spans="2:72" x14ac:dyDescent="0.3">
      <c r="B8" s="79">
        <f t="shared" si="2"/>
        <v>50</v>
      </c>
      <c r="C8" s="79" t="s">
        <v>194</v>
      </c>
      <c r="D8" s="79" t="s">
        <v>193</v>
      </c>
      <c r="E8" s="79" t="s">
        <v>193</v>
      </c>
      <c r="F8" s="79" t="s">
        <v>193</v>
      </c>
      <c r="G8" s="79" t="s">
        <v>193</v>
      </c>
      <c r="H8" s="79" t="s">
        <v>193</v>
      </c>
      <c r="I8" s="79" t="s">
        <v>193</v>
      </c>
      <c r="J8" s="79" t="s">
        <v>193</v>
      </c>
      <c r="K8" s="79" t="s">
        <v>193</v>
      </c>
      <c r="L8" s="79" t="s">
        <v>192</v>
      </c>
      <c r="M8" s="79" t="s">
        <v>192</v>
      </c>
      <c r="N8" s="79" t="s">
        <v>192</v>
      </c>
      <c r="O8" s="79" t="s">
        <v>192</v>
      </c>
      <c r="P8" s="79" t="s">
        <v>192</v>
      </c>
      <c r="Q8" s="79" t="s">
        <v>192</v>
      </c>
      <c r="R8" s="79" t="s">
        <v>192</v>
      </c>
      <c r="S8" s="79" t="s">
        <v>191</v>
      </c>
      <c r="T8" s="79" t="s">
        <v>191</v>
      </c>
      <c r="U8" s="79" t="s">
        <v>191</v>
      </c>
      <c r="V8" s="79" t="s">
        <v>191</v>
      </c>
      <c r="W8" s="79" t="s">
        <v>191</v>
      </c>
      <c r="X8" s="79" t="s">
        <v>191</v>
      </c>
      <c r="Y8" s="79" t="s">
        <v>191</v>
      </c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</row>
    <row r="9" spans="2:72" x14ac:dyDescent="0.3">
      <c r="B9" s="79">
        <f t="shared" si="2"/>
        <v>52</v>
      </c>
      <c r="C9" s="79" t="s">
        <v>194</v>
      </c>
      <c r="D9" s="79" t="s">
        <v>194</v>
      </c>
      <c r="E9" s="79" t="s">
        <v>194</v>
      </c>
      <c r="F9" s="79" t="s">
        <v>194</v>
      </c>
      <c r="G9" s="79" t="s">
        <v>194</v>
      </c>
      <c r="H9" s="79" t="s">
        <v>193</v>
      </c>
      <c r="I9" s="79" t="s">
        <v>193</v>
      </c>
      <c r="J9" s="79" t="s">
        <v>193</v>
      </c>
      <c r="K9" s="79" t="s">
        <v>193</v>
      </c>
      <c r="L9" s="79" t="s">
        <v>193</v>
      </c>
      <c r="M9" s="79" t="s">
        <v>193</v>
      </c>
      <c r="N9" s="79" t="s">
        <v>193</v>
      </c>
      <c r="O9" s="79" t="s">
        <v>192</v>
      </c>
      <c r="P9" s="79" t="s">
        <v>192</v>
      </c>
      <c r="Q9" s="79" t="s">
        <v>192</v>
      </c>
      <c r="R9" s="79" t="s">
        <v>192</v>
      </c>
      <c r="S9" s="79" t="s">
        <v>192</v>
      </c>
      <c r="T9" s="79" t="s">
        <v>192</v>
      </c>
      <c r="U9" s="79" t="s">
        <v>192</v>
      </c>
      <c r="V9" s="79" t="s">
        <v>191</v>
      </c>
      <c r="W9" s="79" t="s">
        <v>191</v>
      </c>
      <c r="X9" s="79" t="s">
        <v>191</v>
      </c>
      <c r="Y9" s="79" t="s">
        <v>191</v>
      </c>
      <c r="Z9" s="79" t="s">
        <v>191</v>
      </c>
      <c r="AA9" s="79" t="s">
        <v>191</v>
      </c>
      <c r="AB9" s="79" t="s">
        <v>191</v>
      </c>
      <c r="AC9" s="79" t="s">
        <v>191</v>
      </c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</row>
    <row r="10" spans="2:72" x14ac:dyDescent="0.3">
      <c r="B10" s="79">
        <f t="shared" si="2"/>
        <v>54</v>
      </c>
      <c r="C10" s="79" t="s">
        <v>194</v>
      </c>
      <c r="D10" s="79" t="s">
        <v>194</v>
      </c>
      <c r="E10" s="79" t="s">
        <v>194</v>
      </c>
      <c r="F10" s="79" t="s">
        <v>194</v>
      </c>
      <c r="G10" s="79" t="s">
        <v>194</v>
      </c>
      <c r="H10" s="79" t="s">
        <v>194</v>
      </c>
      <c r="I10" s="79" t="s">
        <v>194</v>
      </c>
      <c r="J10" s="79" t="s">
        <v>194</v>
      </c>
      <c r="K10" s="79" t="s">
        <v>193</v>
      </c>
      <c r="L10" s="79" t="s">
        <v>193</v>
      </c>
      <c r="M10" s="79" t="s">
        <v>193</v>
      </c>
      <c r="N10" s="79" t="s">
        <v>193</v>
      </c>
      <c r="O10" s="79" t="s">
        <v>193</v>
      </c>
      <c r="P10" s="79" t="s">
        <v>193</v>
      </c>
      <c r="Q10" s="79" t="s">
        <v>193</v>
      </c>
      <c r="R10" s="79" t="s">
        <v>193</v>
      </c>
      <c r="S10" s="79" t="s">
        <v>192</v>
      </c>
      <c r="T10" s="79" t="s">
        <v>192</v>
      </c>
      <c r="U10" s="79" t="s">
        <v>192</v>
      </c>
      <c r="V10" s="79" t="s">
        <v>192</v>
      </c>
      <c r="W10" s="79" t="s">
        <v>192</v>
      </c>
      <c r="X10" s="79" t="s">
        <v>192</v>
      </c>
      <c r="Y10" s="79" t="s">
        <v>192</v>
      </c>
      <c r="Z10" s="79" t="s">
        <v>191</v>
      </c>
      <c r="AA10" s="79" t="s">
        <v>191</v>
      </c>
      <c r="AB10" s="79" t="s">
        <v>191</v>
      </c>
      <c r="AC10" s="79" t="s">
        <v>191</v>
      </c>
      <c r="AD10" s="79" t="s">
        <v>191</v>
      </c>
      <c r="AE10" s="79" t="s">
        <v>191</v>
      </c>
      <c r="AF10" s="79" t="s">
        <v>191</v>
      </c>
      <c r="AG10" s="79" t="s">
        <v>191</v>
      </c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</row>
    <row r="11" spans="2:72" x14ac:dyDescent="0.3">
      <c r="B11" s="79">
        <f t="shared" si="2"/>
        <v>56</v>
      </c>
      <c r="C11" s="79" t="s">
        <v>195</v>
      </c>
      <c r="D11" s="79" t="s">
        <v>195</v>
      </c>
      <c r="E11" s="79" t="s">
        <v>195</v>
      </c>
      <c r="F11" s="79" t="s">
        <v>194</v>
      </c>
      <c r="G11" s="79" t="s">
        <v>194</v>
      </c>
      <c r="H11" s="79" t="s">
        <v>194</v>
      </c>
      <c r="I11" s="79" t="s">
        <v>194</v>
      </c>
      <c r="J11" s="79" t="s">
        <v>194</v>
      </c>
      <c r="K11" s="79" t="s">
        <v>194</v>
      </c>
      <c r="L11" s="79" t="s">
        <v>194</v>
      </c>
      <c r="M11" s="79" t="s">
        <v>194</v>
      </c>
      <c r="N11" s="79" t="s">
        <v>193</v>
      </c>
      <c r="O11" s="79" t="s">
        <v>193</v>
      </c>
      <c r="P11" s="79" t="s">
        <v>193</v>
      </c>
      <c r="Q11" s="79" t="s">
        <v>193</v>
      </c>
      <c r="R11" s="79" t="s">
        <v>193</v>
      </c>
      <c r="S11" s="79" t="s">
        <v>193</v>
      </c>
      <c r="T11" s="79" t="s">
        <v>193</v>
      </c>
      <c r="U11" s="79" t="s">
        <v>193</v>
      </c>
      <c r="V11" s="79" t="s">
        <v>192</v>
      </c>
      <c r="W11" s="79" t="s">
        <v>192</v>
      </c>
      <c r="X11" s="79" t="s">
        <v>192</v>
      </c>
      <c r="Y11" s="79" t="s">
        <v>192</v>
      </c>
      <c r="Z11" s="79" t="s">
        <v>192</v>
      </c>
      <c r="AA11" s="79" t="s">
        <v>192</v>
      </c>
      <c r="AB11" s="79" t="s">
        <v>192</v>
      </c>
      <c r="AC11" s="79" t="s">
        <v>192</v>
      </c>
      <c r="AD11" s="79" t="s">
        <v>191</v>
      </c>
      <c r="AE11" s="79" t="s">
        <v>191</v>
      </c>
      <c r="AF11" s="79" t="s">
        <v>191</v>
      </c>
      <c r="AG11" s="79" t="s">
        <v>191</v>
      </c>
      <c r="AH11" s="79" t="s">
        <v>191</v>
      </c>
      <c r="AI11" s="79" t="s">
        <v>191</v>
      </c>
      <c r="AJ11" s="79" t="s">
        <v>191</v>
      </c>
      <c r="AK11" s="79" t="s">
        <v>191</v>
      </c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</row>
    <row r="12" spans="2:72" x14ac:dyDescent="0.3">
      <c r="B12" s="79">
        <f t="shared" si="2"/>
        <v>58</v>
      </c>
      <c r="C12" s="79" t="s">
        <v>195</v>
      </c>
      <c r="D12" s="79" t="s">
        <v>195</v>
      </c>
      <c r="E12" s="79" t="s">
        <v>195</v>
      </c>
      <c r="F12" s="79" t="s">
        <v>195</v>
      </c>
      <c r="G12" s="79" t="s">
        <v>195</v>
      </c>
      <c r="H12" s="79" t="s">
        <v>195</v>
      </c>
      <c r="I12" s="79" t="s">
        <v>194</v>
      </c>
      <c r="J12" s="79" t="s">
        <v>194</v>
      </c>
      <c r="K12" s="79" t="s">
        <v>194</v>
      </c>
      <c r="L12" s="79" t="s">
        <v>194</v>
      </c>
      <c r="M12" s="79" t="s">
        <v>194</v>
      </c>
      <c r="N12" s="79" t="s">
        <v>194</v>
      </c>
      <c r="O12" s="79" t="s">
        <v>194</v>
      </c>
      <c r="P12" s="79" t="s">
        <v>194</v>
      </c>
      <c r="Q12" s="79" t="s">
        <v>193</v>
      </c>
      <c r="R12" s="79" t="s">
        <v>193</v>
      </c>
      <c r="S12" s="79" t="s">
        <v>193</v>
      </c>
      <c r="T12" s="79" t="s">
        <v>193</v>
      </c>
      <c r="U12" s="79" t="s">
        <v>193</v>
      </c>
      <c r="V12" s="79" t="s">
        <v>193</v>
      </c>
      <c r="W12" s="79" t="s">
        <v>193</v>
      </c>
      <c r="X12" s="79" t="s">
        <v>193</v>
      </c>
      <c r="Y12" s="79" t="s">
        <v>193</v>
      </c>
      <c r="Z12" s="79" t="s">
        <v>192</v>
      </c>
      <c r="AA12" s="79" t="s">
        <v>192</v>
      </c>
      <c r="AB12" s="79" t="s">
        <v>192</v>
      </c>
      <c r="AC12" s="79" t="s">
        <v>192</v>
      </c>
      <c r="AD12" s="79" t="s">
        <v>192</v>
      </c>
      <c r="AE12" s="79" t="s">
        <v>192</v>
      </c>
      <c r="AF12" s="79" t="s">
        <v>192</v>
      </c>
      <c r="AG12" s="79" t="s">
        <v>192</v>
      </c>
      <c r="AH12" s="79" t="s">
        <v>191</v>
      </c>
      <c r="AI12" s="79" t="s">
        <v>191</v>
      </c>
      <c r="AJ12" s="79" t="s">
        <v>191</v>
      </c>
      <c r="AK12" s="79" t="s">
        <v>191</v>
      </c>
      <c r="AL12" s="79" t="s">
        <v>191</v>
      </c>
      <c r="AM12" s="79" t="s">
        <v>191</v>
      </c>
      <c r="AN12" s="79" t="s">
        <v>191</v>
      </c>
      <c r="AO12" s="79" t="s">
        <v>191</v>
      </c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2:72" x14ac:dyDescent="0.3">
      <c r="B13" s="79">
        <f t="shared" si="2"/>
        <v>60</v>
      </c>
      <c r="C13" s="79" t="s">
        <v>196</v>
      </c>
      <c r="D13" s="79" t="s">
        <v>195</v>
      </c>
      <c r="E13" s="79" t="s">
        <v>195</v>
      </c>
      <c r="F13" s="79" t="s">
        <v>195</v>
      </c>
      <c r="G13" s="79" t="s">
        <v>195</v>
      </c>
      <c r="H13" s="79" t="s">
        <v>195</v>
      </c>
      <c r="I13" s="79" t="s">
        <v>195</v>
      </c>
      <c r="J13" s="79" t="s">
        <v>195</v>
      </c>
      <c r="K13" s="79" t="s">
        <v>195</v>
      </c>
      <c r="L13" s="79" t="s">
        <v>194</v>
      </c>
      <c r="M13" s="79" t="s">
        <v>194</v>
      </c>
      <c r="N13" s="79" t="s">
        <v>194</v>
      </c>
      <c r="O13" s="79" t="s">
        <v>194</v>
      </c>
      <c r="P13" s="79" t="s">
        <v>194</v>
      </c>
      <c r="Q13" s="79" t="s">
        <v>194</v>
      </c>
      <c r="R13" s="79" t="s">
        <v>194</v>
      </c>
      <c r="S13" s="79" t="s">
        <v>194</v>
      </c>
      <c r="T13" s="79" t="s">
        <v>194</v>
      </c>
      <c r="U13" s="79" t="s">
        <v>193</v>
      </c>
      <c r="V13" s="79" t="s">
        <v>193</v>
      </c>
      <c r="W13" s="79" t="s">
        <v>193</v>
      </c>
      <c r="X13" s="79" t="s">
        <v>193</v>
      </c>
      <c r="Y13" s="79" t="s">
        <v>193</v>
      </c>
      <c r="Z13" s="79" t="s">
        <v>193</v>
      </c>
      <c r="AA13" s="79" t="s">
        <v>193</v>
      </c>
      <c r="AB13" s="79" t="s">
        <v>193</v>
      </c>
      <c r="AC13" s="79" t="s">
        <v>192</v>
      </c>
      <c r="AD13" s="79" t="s">
        <v>192</v>
      </c>
      <c r="AE13" s="79" t="s">
        <v>192</v>
      </c>
      <c r="AF13" s="79" t="s">
        <v>192</v>
      </c>
      <c r="AG13" s="79" t="s">
        <v>192</v>
      </c>
      <c r="AH13" s="79" t="s">
        <v>192</v>
      </c>
      <c r="AI13" s="79" t="s">
        <v>192</v>
      </c>
      <c r="AJ13" s="79" t="s">
        <v>192</v>
      </c>
      <c r="AK13" s="79" t="s">
        <v>192</v>
      </c>
      <c r="AL13" s="79" t="s">
        <v>191</v>
      </c>
      <c r="AM13" s="79" t="s">
        <v>191</v>
      </c>
      <c r="AN13" s="79" t="s">
        <v>191</v>
      </c>
      <c r="AO13" s="79" t="s">
        <v>191</v>
      </c>
      <c r="AP13" s="79" t="s">
        <v>191</v>
      </c>
      <c r="AQ13" s="79" t="s">
        <v>191</v>
      </c>
      <c r="AR13" s="79" t="s">
        <v>191</v>
      </c>
      <c r="AS13" s="79" t="s">
        <v>191</v>
      </c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</row>
    <row r="14" spans="2:72" x14ac:dyDescent="0.3">
      <c r="B14" s="79">
        <f t="shared" si="2"/>
        <v>62</v>
      </c>
      <c r="C14" s="79" t="s">
        <v>196</v>
      </c>
      <c r="D14" s="79" t="s">
        <v>196</v>
      </c>
      <c r="E14" s="79" t="s">
        <v>196</v>
      </c>
      <c r="F14" s="79" t="s">
        <v>195</v>
      </c>
      <c r="G14" s="79" t="s">
        <v>195</v>
      </c>
      <c r="H14" s="79" t="s">
        <v>195</v>
      </c>
      <c r="I14" s="79" t="s">
        <v>195</v>
      </c>
      <c r="J14" s="79" t="s">
        <v>195</v>
      </c>
      <c r="K14" s="79" t="s">
        <v>195</v>
      </c>
      <c r="L14" s="79" t="s">
        <v>195</v>
      </c>
      <c r="M14" s="79" t="s">
        <v>195</v>
      </c>
      <c r="N14" s="79" t="s">
        <v>195</v>
      </c>
      <c r="O14" s="79" t="s">
        <v>194</v>
      </c>
      <c r="P14" s="79" t="s">
        <v>194</v>
      </c>
      <c r="Q14" s="79" t="s">
        <v>194</v>
      </c>
      <c r="R14" s="79" t="s">
        <v>194</v>
      </c>
      <c r="S14" s="79" t="s">
        <v>194</v>
      </c>
      <c r="T14" s="79" t="s">
        <v>194</v>
      </c>
      <c r="U14" s="79" t="s">
        <v>194</v>
      </c>
      <c r="V14" s="79" t="s">
        <v>194</v>
      </c>
      <c r="W14" s="79" t="s">
        <v>194</v>
      </c>
      <c r="X14" s="79" t="s">
        <v>193</v>
      </c>
      <c r="Y14" s="79" t="s">
        <v>193</v>
      </c>
      <c r="Z14" s="79" t="s">
        <v>193</v>
      </c>
      <c r="AA14" s="79" t="s">
        <v>193</v>
      </c>
      <c r="AB14" s="79" t="s">
        <v>193</v>
      </c>
      <c r="AC14" s="79" t="s">
        <v>193</v>
      </c>
      <c r="AD14" s="79" t="s">
        <v>193</v>
      </c>
      <c r="AE14" s="79" t="s">
        <v>193</v>
      </c>
      <c r="AF14" s="79" t="s">
        <v>193</v>
      </c>
      <c r="AG14" s="79" t="s">
        <v>192</v>
      </c>
      <c r="AH14" s="79" t="s">
        <v>192</v>
      </c>
      <c r="AI14" s="79" t="s">
        <v>192</v>
      </c>
      <c r="AJ14" s="79" t="s">
        <v>192</v>
      </c>
      <c r="AK14" s="79" t="s">
        <v>192</v>
      </c>
      <c r="AL14" s="79" t="s">
        <v>192</v>
      </c>
      <c r="AM14" s="79" t="s">
        <v>192</v>
      </c>
      <c r="AN14" s="79" t="s">
        <v>192</v>
      </c>
      <c r="AO14" s="79" t="s">
        <v>191</v>
      </c>
      <c r="AP14" s="79" t="s">
        <v>191</v>
      </c>
      <c r="AQ14" s="79" t="s">
        <v>191</v>
      </c>
      <c r="AR14" s="79" t="s">
        <v>191</v>
      </c>
      <c r="AS14" s="79" t="s">
        <v>191</v>
      </c>
      <c r="AT14" s="79" t="s">
        <v>191</v>
      </c>
      <c r="AU14" s="79" t="s">
        <v>191</v>
      </c>
      <c r="AV14" s="79" t="s">
        <v>191</v>
      </c>
      <c r="AW14" s="79" t="s">
        <v>191</v>
      </c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2:72" x14ac:dyDescent="0.3">
      <c r="B15" s="79">
        <f t="shared" si="2"/>
        <v>64</v>
      </c>
      <c r="C15" s="79" t="s">
        <v>196</v>
      </c>
      <c r="D15" s="79" t="s">
        <v>196</v>
      </c>
      <c r="E15" s="79" t="s">
        <v>196</v>
      </c>
      <c r="F15" s="79" t="s">
        <v>196</v>
      </c>
      <c r="G15" s="79" t="s">
        <v>196</v>
      </c>
      <c r="H15" s="79" t="s">
        <v>196</v>
      </c>
      <c r="I15" s="79" t="s">
        <v>195</v>
      </c>
      <c r="J15" s="79" t="s">
        <v>195</v>
      </c>
      <c r="K15" s="79" t="s">
        <v>195</v>
      </c>
      <c r="L15" s="79" t="s">
        <v>195</v>
      </c>
      <c r="M15" s="79" t="s">
        <v>195</v>
      </c>
      <c r="N15" s="79" t="s">
        <v>195</v>
      </c>
      <c r="O15" s="79" t="s">
        <v>195</v>
      </c>
      <c r="P15" s="79" t="s">
        <v>195</v>
      </c>
      <c r="Q15" s="79" t="s">
        <v>195</v>
      </c>
      <c r="R15" s="79" t="s">
        <v>194</v>
      </c>
      <c r="S15" s="79" t="s">
        <v>194</v>
      </c>
      <c r="T15" s="79" t="s">
        <v>194</v>
      </c>
      <c r="U15" s="79" t="s">
        <v>194</v>
      </c>
      <c r="V15" s="79" t="s">
        <v>194</v>
      </c>
      <c r="W15" s="79" t="s">
        <v>194</v>
      </c>
      <c r="X15" s="79" t="s">
        <v>194</v>
      </c>
      <c r="Y15" s="79" t="s">
        <v>194</v>
      </c>
      <c r="Z15" s="79" t="s">
        <v>194</v>
      </c>
      <c r="AA15" s="79" t="s">
        <v>193</v>
      </c>
      <c r="AB15" s="79" t="s">
        <v>193</v>
      </c>
      <c r="AC15" s="79" t="s">
        <v>193</v>
      </c>
      <c r="AD15" s="79" t="s">
        <v>193</v>
      </c>
      <c r="AE15" s="79" t="s">
        <v>193</v>
      </c>
      <c r="AF15" s="79" t="s">
        <v>193</v>
      </c>
      <c r="AG15" s="79" t="s">
        <v>193</v>
      </c>
      <c r="AH15" s="79" t="s">
        <v>193</v>
      </c>
      <c r="AI15" s="79" t="s">
        <v>193</v>
      </c>
      <c r="AJ15" s="79" t="s">
        <v>192</v>
      </c>
      <c r="AK15" s="79" t="s">
        <v>192</v>
      </c>
      <c r="AL15" s="79" t="s">
        <v>192</v>
      </c>
      <c r="AM15" s="79" t="s">
        <v>192</v>
      </c>
      <c r="AN15" s="79" t="s">
        <v>192</v>
      </c>
      <c r="AO15" s="79" t="s">
        <v>192</v>
      </c>
      <c r="AP15" s="79" t="s">
        <v>192</v>
      </c>
      <c r="AQ15" s="79" t="s">
        <v>192</v>
      </c>
      <c r="AR15" s="79" t="s">
        <v>192</v>
      </c>
      <c r="AS15" s="79" t="s">
        <v>191</v>
      </c>
      <c r="AT15" s="79" t="s">
        <v>191</v>
      </c>
      <c r="AU15" s="79" t="s">
        <v>191</v>
      </c>
      <c r="AV15" s="79" t="s">
        <v>191</v>
      </c>
      <c r="AW15" s="79" t="s">
        <v>191</v>
      </c>
      <c r="AX15" s="79" t="s">
        <v>191</v>
      </c>
      <c r="AY15" s="79" t="s">
        <v>191</v>
      </c>
      <c r="AZ15" s="79" t="s">
        <v>191</v>
      </c>
      <c r="BA15" s="79" t="s">
        <v>191</v>
      </c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</row>
    <row r="16" spans="2:72" x14ac:dyDescent="0.3">
      <c r="B16" s="79">
        <f t="shared" si="2"/>
        <v>66</v>
      </c>
      <c r="C16" s="79" t="s">
        <v>196</v>
      </c>
      <c r="D16" s="79" t="s">
        <v>196</v>
      </c>
      <c r="E16" s="79" t="s">
        <v>196</v>
      </c>
      <c r="F16" s="79" t="s">
        <v>196</v>
      </c>
      <c r="G16" s="79" t="s">
        <v>196</v>
      </c>
      <c r="H16" s="79" t="s">
        <v>196</v>
      </c>
      <c r="I16" s="79" t="s">
        <v>196</v>
      </c>
      <c r="J16" s="79" t="s">
        <v>196</v>
      </c>
      <c r="K16" s="79" t="s">
        <v>196</v>
      </c>
      <c r="L16" s="79" t="s">
        <v>195</v>
      </c>
      <c r="M16" s="79" t="s">
        <v>195</v>
      </c>
      <c r="N16" s="79" t="s">
        <v>195</v>
      </c>
      <c r="O16" s="79" t="s">
        <v>195</v>
      </c>
      <c r="P16" s="79" t="s">
        <v>195</v>
      </c>
      <c r="Q16" s="79" t="s">
        <v>195</v>
      </c>
      <c r="R16" s="79" t="s">
        <v>195</v>
      </c>
      <c r="S16" s="79" t="s">
        <v>195</v>
      </c>
      <c r="T16" s="79" t="s">
        <v>195</v>
      </c>
      <c r="U16" s="79" t="s">
        <v>194</v>
      </c>
      <c r="V16" s="79" t="s">
        <v>194</v>
      </c>
      <c r="W16" s="79" t="s">
        <v>194</v>
      </c>
      <c r="X16" s="79" t="s">
        <v>194</v>
      </c>
      <c r="Y16" s="79" t="s">
        <v>194</v>
      </c>
      <c r="Z16" s="79" t="s">
        <v>194</v>
      </c>
      <c r="AA16" s="79" t="s">
        <v>194</v>
      </c>
      <c r="AB16" s="79" t="s">
        <v>194</v>
      </c>
      <c r="AC16" s="79" t="s">
        <v>194</v>
      </c>
      <c r="AD16" s="79" t="s">
        <v>193</v>
      </c>
      <c r="AE16" s="79" t="s">
        <v>193</v>
      </c>
      <c r="AF16" s="79" t="s">
        <v>193</v>
      </c>
      <c r="AG16" s="79" t="s">
        <v>193</v>
      </c>
      <c r="AH16" s="79" t="s">
        <v>193</v>
      </c>
      <c r="AI16" s="79" t="s">
        <v>193</v>
      </c>
      <c r="AJ16" s="79" t="s">
        <v>193</v>
      </c>
      <c r="AK16" s="79" t="s">
        <v>193</v>
      </c>
      <c r="AL16" s="79" t="s">
        <v>193</v>
      </c>
      <c r="AM16" s="79" t="s">
        <v>192</v>
      </c>
      <c r="AN16" s="79" t="s">
        <v>192</v>
      </c>
      <c r="AO16" s="79" t="s">
        <v>192</v>
      </c>
      <c r="AP16" s="79" t="s">
        <v>192</v>
      </c>
      <c r="AQ16" s="79" t="s">
        <v>192</v>
      </c>
      <c r="AR16" s="79" t="s">
        <v>192</v>
      </c>
      <c r="AS16" s="79" t="s">
        <v>192</v>
      </c>
      <c r="AT16" s="79" t="s">
        <v>192</v>
      </c>
      <c r="AU16" s="79" t="s">
        <v>192</v>
      </c>
      <c r="AV16" s="79" t="s">
        <v>192</v>
      </c>
      <c r="AW16" s="79" t="s">
        <v>191</v>
      </c>
      <c r="AX16" s="79" t="s">
        <v>191</v>
      </c>
      <c r="AY16" s="79" t="s">
        <v>191</v>
      </c>
      <c r="AZ16" s="79" t="s">
        <v>191</v>
      </c>
      <c r="BA16" s="79" t="s">
        <v>191</v>
      </c>
      <c r="BB16" s="79" t="s">
        <v>191</v>
      </c>
      <c r="BC16" s="79" t="s">
        <v>191</v>
      </c>
      <c r="BD16" s="79" t="s">
        <v>191</v>
      </c>
      <c r="BE16" s="79" t="s">
        <v>191</v>
      </c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</row>
    <row r="17" spans="2:72" x14ac:dyDescent="0.3">
      <c r="B17" s="79">
        <f t="shared" si="2"/>
        <v>68</v>
      </c>
      <c r="C17" s="79" t="s">
        <v>196</v>
      </c>
      <c r="D17" s="79" t="s">
        <v>196</v>
      </c>
      <c r="E17" s="79" t="s">
        <v>196</v>
      </c>
      <c r="F17" s="79" t="s">
        <v>196</v>
      </c>
      <c r="G17" s="79" t="s">
        <v>196</v>
      </c>
      <c r="H17" s="79" t="s">
        <v>196</v>
      </c>
      <c r="I17" s="79" t="s">
        <v>196</v>
      </c>
      <c r="J17" s="79" t="s">
        <v>196</v>
      </c>
      <c r="K17" s="79" t="s">
        <v>196</v>
      </c>
      <c r="L17" s="79" t="s">
        <v>195</v>
      </c>
      <c r="M17" s="79" t="s">
        <v>195</v>
      </c>
      <c r="N17" s="79" t="s">
        <v>195</v>
      </c>
      <c r="O17" s="79" t="s">
        <v>195</v>
      </c>
      <c r="P17" s="79" t="s">
        <v>195</v>
      </c>
      <c r="Q17" s="79" t="s">
        <v>195</v>
      </c>
      <c r="R17" s="79" t="s">
        <v>195</v>
      </c>
      <c r="S17" s="79" t="s">
        <v>195</v>
      </c>
      <c r="T17" s="79" t="s">
        <v>195</v>
      </c>
      <c r="U17" s="79" t="s">
        <v>195</v>
      </c>
      <c r="V17" s="79" t="s">
        <v>194</v>
      </c>
      <c r="W17" s="79" t="s">
        <v>194</v>
      </c>
      <c r="X17" s="79" t="s">
        <v>194</v>
      </c>
      <c r="Y17" s="79" t="s">
        <v>194</v>
      </c>
      <c r="Z17" s="79" t="s">
        <v>194</v>
      </c>
      <c r="AA17" s="79" t="s">
        <v>194</v>
      </c>
      <c r="AB17" s="79" t="s">
        <v>194</v>
      </c>
      <c r="AC17" s="79" t="s">
        <v>194</v>
      </c>
      <c r="AD17" s="79" t="s">
        <v>194</v>
      </c>
      <c r="AE17" s="79" t="s">
        <v>220</v>
      </c>
      <c r="AF17" s="79" t="s">
        <v>193</v>
      </c>
      <c r="AG17" s="79" t="s">
        <v>193</v>
      </c>
      <c r="AH17" s="79" t="s">
        <v>193</v>
      </c>
      <c r="AI17" s="79" t="s">
        <v>193</v>
      </c>
      <c r="AJ17" s="79" t="s">
        <v>193</v>
      </c>
      <c r="AK17" s="79" t="s">
        <v>193</v>
      </c>
      <c r="AL17" s="79" t="s">
        <v>193</v>
      </c>
      <c r="AM17" s="79" t="s">
        <v>193</v>
      </c>
      <c r="AN17" s="79" t="s">
        <v>193</v>
      </c>
      <c r="AO17" s="79" t="s">
        <v>192</v>
      </c>
      <c r="AP17" s="79" t="s">
        <v>192</v>
      </c>
      <c r="AQ17" s="79" t="s">
        <v>192</v>
      </c>
      <c r="AR17" s="79" t="s">
        <v>192</v>
      </c>
      <c r="AS17" s="79" t="s">
        <v>192</v>
      </c>
      <c r="AT17" s="79" t="s">
        <v>192</v>
      </c>
      <c r="AU17" s="79" t="s">
        <v>192</v>
      </c>
      <c r="AV17" s="79" t="s">
        <v>192</v>
      </c>
      <c r="AW17" s="79" t="s">
        <v>192</v>
      </c>
      <c r="AX17" s="79" t="s">
        <v>192</v>
      </c>
      <c r="AY17" s="79" t="s">
        <v>191</v>
      </c>
      <c r="AZ17" s="79" t="s">
        <v>191</v>
      </c>
      <c r="BA17" s="79" t="s">
        <v>191</v>
      </c>
      <c r="BB17" s="79" t="s">
        <v>191</v>
      </c>
      <c r="BC17" s="79" t="s">
        <v>191</v>
      </c>
      <c r="BD17" s="79" t="s">
        <v>191</v>
      </c>
      <c r="BE17" s="79" t="s">
        <v>191</v>
      </c>
      <c r="BF17" s="79" t="s">
        <v>191</v>
      </c>
      <c r="BG17" s="79" t="s">
        <v>191</v>
      </c>
      <c r="BH17" s="79" t="s">
        <v>191</v>
      </c>
      <c r="BI17" s="79" t="s">
        <v>191</v>
      </c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</row>
    <row r="18" spans="2:72" x14ac:dyDescent="0.3">
      <c r="B18" s="79">
        <f t="shared" si="2"/>
        <v>70</v>
      </c>
      <c r="C18" s="79" t="s">
        <v>197</v>
      </c>
      <c r="D18" s="79" t="s">
        <v>197</v>
      </c>
      <c r="E18" s="79" t="s">
        <v>196</v>
      </c>
      <c r="F18" s="79" t="s">
        <v>196</v>
      </c>
      <c r="G18" s="79" t="s">
        <v>196</v>
      </c>
      <c r="H18" s="79" t="s">
        <v>196</v>
      </c>
      <c r="I18" s="79" t="s">
        <v>196</v>
      </c>
      <c r="J18" s="79" t="s">
        <v>196</v>
      </c>
      <c r="K18" s="79" t="s">
        <v>196</v>
      </c>
      <c r="L18" s="79" t="s">
        <v>208</v>
      </c>
      <c r="M18" s="79" t="s">
        <v>208</v>
      </c>
      <c r="N18" s="79" t="s">
        <v>208</v>
      </c>
      <c r="O18" s="79" t="s">
        <v>195</v>
      </c>
      <c r="P18" s="79" t="s">
        <v>195</v>
      </c>
      <c r="Q18" s="79" t="s">
        <v>195</v>
      </c>
      <c r="R18" s="79" t="s">
        <v>195</v>
      </c>
      <c r="S18" s="79" t="s">
        <v>195</v>
      </c>
      <c r="T18" s="79" t="s">
        <v>195</v>
      </c>
      <c r="U18" s="79" t="s">
        <v>215</v>
      </c>
      <c r="V18" s="79" t="s">
        <v>215</v>
      </c>
      <c r="W18" s="79" t="s">
        <v>215</v>
      </c>
      <c r="X18" s="79" t="s">
        <v>215</v>
      </c>
      <c r="Y18" s="79" t="s">
        <v>194</v>
      </c>
      <c r="Z18" s="79" t="s">
        <v>194</v>
      </c>
      <c r="AA18" s="79" t="s">
        <v>194</v>
      </c>
      <c r="AB18" s="79" t="s">
        <v>194</v>
      </c>
      <c r="AC18" s="79" t="s">
        <v>194</v>
      </c>
      <c r="AD18" s="79" t="s">
        <v>194</v>
      </c>
      <c r="AE18" s="79" t="s">
        <v>220</v>
      </c>
      <c r="AF18" s="79" t="s">
        <v>220</v>
      </c>
      <c r="AG18" s="79" t="s">
        <v>220</v>
      </c>
      <c r="AH18" s="79" t="s">
        <v>220</v>
      </c>
      <c r="AI18" s="79" t="s">
        <v>193</v>
      </c>
      <c r="AJ18" s="79" t="s">
        <v>193</v>
      </c>
      <c r="AK18" s="79" t="s">
        <v>193</v>
      </c>
      <c r="AL18" s="79" t="s">
        <v>193</v>
      </c>
      <c r="AM18" s="79" t="s">
        <v>193</v>
      </c>
      <c r="AN18" s="79" t="s">
        <v>226</v>
      </c>
      <c r="AO18" s="79" t="s">
        <v>226</v>
      </c>
      <c r="AP18" s="79" t="s">
        <v>226</v>
      </c>
      <c r="AQ18" s="79" t="s">
        <v>226</v>
      </c>
      <c r="AR18" s="79" t="s">
        <v>226</v>
      </c>
      <c r="AS18" s="79" t="s">
        <v>192</v>
      </c>
      <c r="AT18" s="79" t="s">
        <v>192</v>
      </c>
      <c r="AU18" s="79" t="s">
        <v>192</v>
      </c>
      <c r="AV18" s="79" t="s">
        <v>192</v>
      </c>
      <c r="AW18" s="79" t="s">
        <v>232</v>
      </c>
      <c r="AX18" s="79" t="s">
        <v>232</v>
      </c>
      <c r="AY18" s="79" t="s">
        <v>232</v>
      </c>
      <c r="AZ18" s="79" t="s">
        <v>232</v>
      </c>
      <c r="BA18" s="79" t="s">
        <v>192</v>
      </c>
      <c r="BB18" s="79" t="s">
        <v>192</v>
      </c>
      <c r="BC18" s="79" t="s">
        <v>191</v>
      </c>
      <c r="BD18" s="79" t="s">
        <v>191</v>
      </c>
      <c r="BE18" s="79" t="s">
        <v>191</v>
      </c>
      <c r="BF18" s="79" t="s">
        <v>191</v>
      </c>
      <c r="BG18" s="79" t="s">
        <v>191</v>
      </c>
      <c r="BH18" s="79" t="s">
        <v>191</v>
      </c>
      <c r="BI18" s="79" t="s">
        <v>191</v>
      </c>
      <c r="BJ18" s="79" t="s">
        <v>191</v>
      </c>
      <c r="BK18" s="79" t="s">
        <v>191</v>
      </c>
      <c r="BL18" s="79" t="s">
        <v>191</v>
      </c>
      <c r="BM18" s="79" t="s">
        <v>191</v>
      </c>
      <c r="BN18" s="79"/>
      <c r="BO18" s="79"/>
      <c r="BP18" s="79"/>
      <c r="BQ18" s="79"/>
      <c r="BR18" s="79"/>
      <c r="BS18" s="79"/>
      <c r="BT18" s="79"/>
    </row>
    <row r="19" spans="2:72" x14ac:dyDescent="0.3">
      <c r="B19" s="79">
        <f t="shared" si="2"/>
        <v>72</v>
      </c>
      <c r="C19" s="79" t="s">
        <v>198</v>
      </c>
      <c r="D19" s="79" t="s">
        <v>198</v>
      </c>
      <c r="E19" s="79" t="s">
        <v>197</v>
      </c>
      <c r="F19" s="79" t="s">
        <v>197</v>
      </c>
      <c r="G19" s="79" t="s">
        <v>197</v>
      </c>
      <c r="H19" s="79" t="s">
        <v>196</v>
      </c>
      <c r="I19" s="79" t="s">
        <v>196</v>
      </c>
      <c r="J19" s="79" t="s">
        <v>196</v>
      </c>
      <c r="K19" s="79" t="s">
        <v>196</v>
      </c>
      <c r="L19" s="79" t="s">
        <v>197</v>
      </c>
      <c r="M19" s="79" t="s">
        <v>197</v>
      </c>
      <c r="N19" s="79" t="s">
        <v>208</v>
      </c>
      <c r="O19" s="79" t="s">
        <v>208</v>
      </c>
      <c r="P19" s="79" t="s">
        <v>208</v>
      </c>
      <c r="Q19" s="79" t="s">
        <v>208</v>
      </c>
      <c r="R19" s="79" t="s">
        <v>195</v>
      </c>
      <c r="S19" s="79" t="s">
        <v>195</v>
      </c>
      <c r="T19" s="79" t="s">
        <v>195</v>
      </c>
      <c r="U19" s="79" t="s">
        <v>208</v>
      </c>
      <c r="V19" s="79" t="s">
        <v>208</v>
      </c>
      <c r="W19" s="79" t="s">
        <v>215</v>
      </c>
      <c r="X19" s="79" t="s">
        <v>215</v>
      </c>
      <c r="Y19" s="79" t="s">
        <v>215</v>
      </c>
      <c r="Z19" s="79" t="s">
        <v>215</v>
      </c>
      <c r="AA19" s="79" t="s">
        <v>215</v>
      </c>
      <c r="AB19" s="79" t="s">
        <v>215</v>
      </c>
      <c r="AC19" s="79" t="s">
        <v>194</v>
      </c>
      <c r="AD19" s="79" t="s">
        <v>215</v>
      </c>
      <c r="AE19" s="79" t="s">
        <v>220</v>
      </c>
      <c r="AF19" s="79" t="s">
        <v>220</v>
      </c>
      <c r="AG19" s="79" t="s">
        <v>220</v>
      </c>
      <c r="AH19" s="79" t="s">
        <v>220</v>
      </c>
      <c r="AI19" s="79" t="s">
        <v>220</v>
      </c>
      <c r="AJ19" s="79" t="s">
        <v>220</v>
      </c>
      <c r="AK19" s="79" t="s">
        <v>220</v>
      </c>
      <c r="AL19" s="79" t="s">
        <v>220</v>
      </c>
      <c r="AM19" s="79" t="s">
        <v>193</v>
      </c>
      <c r="AN19" s="79" t="s">
        <v>226</v>
      </c>
      <c r="AO19" s="79" t="s">
        <v>226</v>
      </c>
      <c r="AP19" s="79" t="s">
        <v>226</v>
      </c>
      <c r="AQ19" s="79" t="s">
        <v>226</v>
      </c>
      <c r="AR19" s="79" t="s">
        <v>226</v>
      </c>
      <c r="AS19" s="79" t="s">
        <v>226</v>
      </c>
      <c r="AT19" s="79" t="s">
        <v>226</v>
      </c>
      <c r="AU19" s="79" t="s">
        <v>226</v>
      </c>
      <c r="AV19" s="79" t="s">
        <v>232</v>
      </c>
      <c r="AW19" s="79" t="s">
        <v>232</v>
      </c>
      <c r="AX19" s="79" t="s">
        <v>232</v>
      </c>
      <c r="AY19" s="79" t="s">
        <v>232</v>
      </c>
      <c r="AZ19" s="79" t="s">
        <v>232</v>
      </c>
      <c r="BA19" s="79" t="s">
        <v>232</v>
      </c>
      <c r="BB19" s="79" t="s">
        <v>232</v>
      </c>
      <c r="BC19" s="79" t="s">
        <v>232</v>
      </c>
      <c r="BD19" s="79" t="s">
        <v>232</v>
      </c>
      <c r="BE19" s="79" t="s">
        <v>192</v>
      </c>
      <c r="BF19" s="79" t="s">
        <v>192</v>
      </c>
      <c r="BG19" s="79" t="s">
        <v>192</v>
      </c>
      <c r="BH19" s="79" t="s">
        <v>191</v>
      </c>
      <c r="BI19" s="79" t="s">
        <v>191</v>
      </c>
      <c r="BJ19" s="79" t="s">
        <v>191</v>
      </c>
      <c r="BK19" s="79" t="s">
        <v>191</v>
      </c>
      <c r="BL19" s="79" t="s">
        <v>191</v>
      </c>
      <c r="BM19" s="79" t="s">
        <v>191</v>
      </c>
      <c r="BN19" s="79" t="s">
        <v>191</v>
      </c>
      <c r="BO19" s="79" t="s">
        <v>191</v>
      </c>
      <c r="BP19" s="79" t="s">
        <v>191</v>
      </c>
      <c r="BQ19" s="79" t="s">
        <v>191</v>
      </c>
      <c r="BR19" s="79"/>
      <c r="BS19" s="79"/>
      <c r="BT19" s="79"/>
    </row>
    <row r="20" spans="2:72" x14ac:dyDescent="0.3">
      <c r="B20" s="79">
        <f t="shared" si="2"/>
        <v>74</v>
      </c>
      <c r="C20" s="79" t="s">
        <v>198</v>
      </c>
      <c r="D20" s="79" t="s">
        <v>198</v>
      </c>
      <c r="E20" s="79" t="s">
        <v>198</v>
      </c>
      <c r="F20" s="79" t="s">
        <v>198</v>
      </c>
      <c r="G20" s="79" t="s">
        <v>198</v>
      </c>
      <c r="H20" s="79" t="s">
        <v>197</v>
      </c>
      <c r="I20" s="79" t="s">
        <v>197</v>
      </c>
      <c r="J20" s="79" t="s">
        <v>197</v>
      </c>
      <c r="K20" s="79" t="s">
        <v>196</v>
      </c>
      <c r="L20" s="79" t="s">
        <v>197</v>
      </c>
      <c r="M20" s="79" t="s">
        <v>197</v>
      </c>
      <c r="N20" s="79" t="s">
        <v>197</v>
      </c>
      <c r="O20" s="79" t="s">
        <v>197</v>
      </c>
      <c r="P20" s="79" t="s">
        <v>208</v>
      </c>
      <c r="Q20" s="79" t="s">
        <v>208</v>
      </c>
      <c r="R20" s="79" t="s">
        <v>208</v>
      </c>
      <c r="S20" s="79" t="s">
        <v>208</v>
      </c>
      <c r="T20" s="79" t="s">
        <v>208</v>
      </c>
      <c r="U20" s="79" t="s">
        <v>208</v>
      </c>
      <c r="V20" s="79" t="s">
        <v>208</v>
      </c>
      <c r="W20" s="79" t="s">
        <v>208</v>
      </c>
      <c r="X20" s="79" t="s">
        <v>208</v>
      </c>
      <c r="Y20" s="79" t="s">
        <v>215</v>
      </c>
      <c r="Z20" s="79" t="s">
        <v>215</v>
      </c>
      <c r="AA20" s="79" t="s">
        <v>215</v>
      </c>
      <c r="AB20" s="79" t="s">
        <v>215</v>
      </c>
      <c r="AC20" s="79" t="s">
        <v>215</v>
      </c>
      <c r="AD20" s="79" t="s">
        <v>215</v>
      </c>
      <c r="AE20" s="79" t="s">
        <v>215</v>
      </c>
      <c r="AF20" s="79" t="s">
        <v>215</v>
      </c>
      <c r="AG20" s="79" t="s">
        <v>215</v>
      </c>
      <c r="AH20" s="79" t="s">
        <v>220</v>
      </c>
      <c r="AI20" s="79" t="s">
        <v>220</v>
      </c>
      <c r="AJ20" s="79" t="s">
        <v>220</v>
      </c>
      <c r="AK20" s="79" t="s">
        <v>220</v>
      </c>
      <c r="AL20" s="79" t="s">
        <v>220</v>
      </c>
      <c r="AM20" s="79" t="s">
        <v>220</v>
      </c>
      <c r="AN20" s="79" t="s">
        <v>220</v>
      </c>
      <c r="AO20" s="79" t="s">
        <v>220</v>
      </c>
      <c r="AP20" s="79" t="s">
        <v>220</v>
      </c>
      <c r="AQ20" s="79" t="s">
        <v>226</v>
      </c>
      <c r="AR20" s="79" t="s">
        <v>226</v>
      </c>
      <c r="AS20" s="79" t="s">
        <v>226</v>
      </c>
      <c r="AT20" s="79" t="s">
        <v>226</v>
      </c>
      <c r="AU20" s="79" t="s">
        <v>226</v>
      </c>
      <c r="AV20" s="79" t="s">
        <v>226</v>
      </c>
      <c r="AW20" s="79" t="s">
        <v>226</v>
      </c>
      <c r="AX20" s="79" t="s">
        <v>226</v>
      </c>
      <c r="AY20" s="79" t="s">
        <v>226</v>
      </c>
      <c r="AZ20" s="79" t="s">
        <v>232</v>
      </c>
      <c r="BA20" s="79" t="s">
        <v>232</v>
      </c>
      <c r="BB20" s="79" t="s">
        <v>232</v>
      </c>
      <c r="BC20" s="79" t="s">
        <v>232</v>
      </c>
      <c r="BD20" s="79" t="s">
        <v>232</v>
      </c>
      <c r="BE20" s="79" t="s">
        <v>232</v>
      </c>
      <c r="BF20" s="79" t="s">
        <v>232</v>
      </c>
      <c r="BG20" s="79" t="s">
        <v>232</v>
      </c>
      <c r="BH20" s="79" t="s">
        <v>232</v>
      </c>
      <c r="BI20" s="79"/>
      <c r="BJ20" s="79"/>
      <c r="BK20" s="79"/>
      <c r="BL20" s="79" t="s">
        <v>191</v>
      </c>
      <c r="BM20" s="79" t="s">
        <v>191</v>
      </c>
      <c r="BN20" s="79" t="s">
        <v>191</v>
      </c>
      <c r="BO20" s="79" t="s">
        <v>191</v>
      </c>
      <c r="BP20" s="79" t="s">
        <v>191</v>
      </c>
      <c r="BQ20" s="79" t="s">
        <v>191</v>
      </c>
      <c r="BR20" s="79"/>
      <c r="BS20" s="79"/>
      <c r="BT20" s="79"/>
    </row>
    <row r="21" spans="2:72" x14ac:dyDescent="0.3">
      <c r="B21" s="79">
        <f t="shared" si="2"/>
        <v>76</v>
      </c>
      <c r="C21" s="79" t="s">
        <v>198</v>
      </c>
      <c r="D21" s="79" t="s">
        <v>198</v>
      </c>
      <c r="E21" s="79" t="s">
        <v>198</v>
      </c>
      <c r="F21" s="79" t="s">
        <v>198</v>
      </c>
      <c r="G21" s="79" t="s">
        <v>198</v>
      </c>
      <c r="H21" s="79" t="s">
        <v>198</v>
      </c>
      <c r="I21" s="79" t="s">
        <v>198</v>
      </c>
      <c r="J21" s="79" t="s">
        <v>197</v>
      </c>
      <c r="K21" s="79" t="s">
        <v>197</v>
      </c>
      <c r="L21" s="79" t="s">
        <v>197</v>
      </c>
      <c r="M21" s="79" t="s">
        <v>197</v>
      </c>
      <c r="N21" s="79" t="s">
        <v>197</v>
      </c>
      <c r="O21" s="79" t="s">
        <v>197</v>
      </c>
      <c r="P21" s="79" t="s">
        <v>197</v>
      </c>
      <c r="Q21" s="79" t="s">
        <v>197</v>
      </c>
      <c r="R21" s="79" t="s">
        <v>197</v>
      </c>
      <c r="S21" s="79" t="s">
        <v>208</v>
      </c>
      <c r="T21" s="79" t="s">
        <v>208</v>
      </c>
      <c r="U21" s="79" t="s">
        <v>208</v>
      </c>
      <c r="V21" s="79" t="s">
        <v>208</v>
      </c>
      <c r="W21" s="79" t="s">
        <v>208</v>
      </c>
      <c r="X21" s="79" t="s">
        <v>208</v>
      </c>
      <c r="Y21" s="79" t="s">
        <v>208</v>
      </c>
      <c r="Z21" s="79" t="s">
        <v>208</v>
      </c>
      <c r="AA21" s="79" t="s">
        <v>208</v>
      </c>
      <c r="AB21" s="79" t="s">
        <v>215</v>
      </c>
      <c r="AC21" s="79" t="s">
        <v>215</v>
      </c>
      <c r="AD21" s="79" t="s">
        <v>215</v>
      </c>
      <c r="AE21" s="79" t="s">
        <v>215</v>
      </c>
      <c r="AF21" s="79" t="s">
        <v>215</v>
      </c>
      <c r="AG21" s="79" t="s">
        <v>215</v>
      </c>
      <c r="AH21" s="79" t="s">
        <v>215</v>
      </c>
      <c r="AI21" s="79" t="s">
        <v>215</v>
      </c>
      <c r="AJ21" s="79" t="s">
        <v>215</v>
      </c>
      <c r="AK21" s="79" t="s">
        <v>220</v>
      </c>
      <c r="AL21" s="79" t="s">
        <v>220</v>
      </c>
      <c r="AM21" s="79" t="s">
        <v>220</v>
      </c>
      <c r="AN21" s="79" t="s">
        <v>220</v>
      </c>
      <c r="AO21" s="79" t="s">
        <v>220</v>
      </c>
      <c r="AP21" s="79" t="s">
        <v>220</v>
      </c>
      <c r="AQ21" s="79" t="s">
        <v>220</v>
      </c>
      <c r="AR21" s="79" t="s">
        <v>220</v>
      </c>
      <c r="AS21" s="79" t="s">
        <v>220</v>
      </c>
      <c r="AT21" s="79" t="s">
        <v>226</v>
      </c>
      <c r="AU21" s="79" t="s">
        <v>226</v>
      </c>
      <c r="AV21" s="79" t="s">
        <v>226</v>
      </c>
      <c r="AW21" s="79" t="s">
        <v>226</v>
      </c>
      <c r="AX21" s="79" t="s">
        <v>226</v>
      </c>
      <c r="AY21" s="79" t="s">
        <v>226</v>
      </c>
      <c r="AZ21" s="79" t="s">
        <v>226</v>
      </c>
      <c r="BA21" s="79" t="s">
        <v>226</v>
      </c>
      <c r="BB21" s="79" t="s">
        <v>226</v>
      </c>
      <c r="BC21" s="79" t="s">
        <v>232</v>
      </c>
      <c r="BD21" s="79" t="s">
        <v>232</v>
      </c>
      <c r="BE21" s="79" t="s">
        <v>232</v>
      </c>
      <c r="BF21" s="79" t="s">
        <v>232</v>
      </c>
      <c r="BG21" s="79" t="s">
        <v>232</v>
      </c>
      <c r="BH21" s="79" t="s">
        <v>232</v>
      </c>
      <c r="BI21" s="79" t="s">
        <v>232</v>
      </c>
      <c r="BJ21" s="79" t="s">
        <v>232</v>
      </c>
      <c r="BK21" s="79" t="s">
        <v>232</v>
      </c>
      <c r="BL21" s="79"/>
      <c r="BM21" s="79"/>
      <c r="BN21" s="79"/>
      <c r="BO21" s="79"/>
      <c r="BP21" s="79" t="s">
        <v>191</v>
      </c>
      <c r="BQ21" s="79"/>
      <c r="BR21" s="79"/>
      <c r="BS21" s="79"/>
      <c r="BT21" s="79"/>
    </row>
    <row r="22" spans="2:72" x14ac:dyDescent="0.3">
      <c r="B22" s="79">
        <f t="shared" si="2"/>
        <v>78</v>
      </c>
      <c r="C22" s="79" t="s">
        <v>198</v>
      </c>
      <c r="D22" s="79" t="s">
        <v>198</v>
      </c>
      <c r="E22" s="79" t="s">
        <v>198</v>
      </c>
      <c r="F22" s="79" t="s">
        <v>198</v>
      </c>
      <c r="G22" s="79" t="s">
        <v>198</v>
      </c>
      <c r="H22" s="79" t="s">
        <v>198</v>
      </c>
      <c r="I22" s="79" t="s">
        <v>198</v>
      </c>
      <c r="J22" s="79" t="s">
        <v>198</v>
      </c>
      <c r="K22" s="79" t="s">
        <v>198</v>
      </c>
      <c r="L22" s="79" t="s">
        <v>197</v>
      </c>
      <c r="M22" s="79" t="s">
        <v>197</v>
      </c>
      <c r="N22" s="79" t="s">
        <v>197</v>
      </c>
      <c r="O22" s="79" t="s">
        <v>197</v>
      </c>
      <c r="P22" s="79" t="s">
        <v>197</v>
      </c>
      <c r="Q22" s="79" t="s">
        <v>197</v>
      </c>
      <c r="R22" s="79" t="s">
        <v>197</v>
      </c>
      <c r="S22" s="79" t="s">
        <v>197</v>
      </c>
      <c r="T22" s="79" t="s">
        <v>197</v>
      </c>
      <c r="U22" s="79" t="s">
        <v>208</v>
      </c>
      <c r="V22" s="79" t="s">
        <v>208</v>
      </c>
      <c r="W22" s="79" t="s">
        <v>208</v>
      </c>
      <c r="X22" s="79" t="s">
        <v>208</v>
      </c>
      <c r="Y22" s="79" t="s">
        <v>208</v>
      </c>
      <c r="Z22" s="79" t="s">
        <v>208</v>
      </c>
      <c r="AA22" s="79" t="s">
        <v>208</v>
      </c>
      <c r="AB22" s="79" t="s">
        <v>208</v>
      </c>
      <c r="AC22" s="79" t="s">
        <v>208</v>
      </c>
      <c r="AD22" s="79" t="s">
        <v>208</v>
      </c>
      <c r="AE22" s="79" t="s">
        <v>215</v>
      </c>
      <c r="AF22" s="79" t="s">
        <v>215</v>
      </c>
      <c r="AG22" s="79" t="s">
        <v>215</v>
      </c>
      <c r="AH22" s="79" t="s">
        <v>215</v>
      </c>
      <c r="AI22" s="79" t="s">
        <v>215</v>
      </c>
      <c r="AJ22" s="79" t="s">
        <v>215</v>
      </c>
      <c r="AK22" s="79" t="s">
        <v>215</v>
      </c>
      <c r="AL22" s="79" t="s">
        <v>215</v>
      </c>
      <c r="AM22" s="79" t="s">
        <v>215</v>
      </c>
      <c r="AN22" s="79" t="s">
        <v>220</v>
      </c>
      <c r="AO22" s="79" t="s">
        <v>220</v>
      </c>
      <c r="AP22" s="79" t="s">
        <v>220</v>
      </c>
      <c r="AQ22" s="79" t="s">
        <v>220</v>
      </c>
      <c r="AR22" s="79" t="s">
        <v>220</v>
      </c>
      <c r="AS22" s="79" t="s">
        <v>220</v>
      </c>
      <c r="AT22" s="79" t="s">
        <v>220</v>
      </c>
      <c r="AU22" s="79" t="s">
        <v>220</v>
      </c>
      <c r="AV22" s="79" t="s">
        <v>220</v>
      </c>
      <c r="AW22" s="79" t="s">
        <v>226</v>
      </c>
      <c r="AX22" s="79" t="s">
        <v>226</v>
      </c>
      <c r="AY22" s="79" t="s">
        <v>226</v>
      </c>
      <c r="AZ22" s="79" t="s">
        <v>226</v>
      </c>
      <c r="BA22" s="79" t="s">
        <v>226</v>
      </c>
      <c r="BB22" s="79" t="s">
        <v>226</v>
      </c>
      <c r="BC22" s="79" t="s">
        <v>226</v>
      </c>
      <c r="BD22" s="79" t="s">
        <v>226</v>
      </c>
      <c r="BE22" s="79" t="s">
        <v>226</v>
      </c>
      <c r="BF22" s="79" t="s">
        <v>226</v>
      </c>
      <c r="BG22" s="79" t="s">
        <v>232</v>
      </c>
      <c r="BH22" s="79" t="s">
        <v>232</v>
      </c>
      <c r="BI22" s="79" t="s">
        <v>232</v>
      </c>
      <c r="BJ22" s="79" t="s">
        <v>232</v>
      </c>
      <c r="BK22" s="79" t="s">
        <v>232</v>
      </c>
      <c r="BL22" s="79" t="s">
        <v>232</v>
      </c>
      <c r="BM22" s="79" t="s">
        <v>232</v>
      </c>
      <c r="BN22" s="79" t="s">
        <v>232</v>
      </c>
      <c r="BO22" s="79" t="s">
        <v>232</v>
      </c>
      <c r="BP22" s="79"/>
      <c r="BQ22" s="79"/>
      <c r="BR22" s="79"/>
      <c r="BS22" s="79"/>
      <c r="BT22" s="79"/>
    </row>
    <row r="23" spans="2:72" x14ac:dyDescent="0.3">
      <c r="B23" s="79">
        <f t="shared" si="2"/>
        <v>80</v>
      </c>
      <c r="C23" s="79" t="s">
        <v>198</v>
      </c>
      <c r="D23" s="79" t="s">
        <v>198</v>
      </c>
      <c r="E23" s="79" t="s">
        <v>198</v>
      </c>
      <c r="F23" s="79" t="s">
        <v>198</v>
      </c>
      <c r="G23" s="79" t="s">
        <v>198</v>
      </c>
      <c r="H23" s="79" t="s">
        <v>198</v>
      </c>
      <c r="I23" s="79" t="s">
        <v>198</v>
      </c>
      <c r="J23" s="79" t="s">
        <v>198</v>
      </c>
      <c r="K23" s="79" t="s">
        <v>198</v>
      </c>
      <c r="L23" s="79" t="s">
        <v>198</v>
      </c>
      <c r="M23" s="79" t="s">
        <v>197</v>
      </c>
      <c r="N23" s="79" t="s">
        <v>197</v>
      </c>
      <c r="O23" s="79" t="s">
        <v>197</v>
      </c>
      <c r="P23" s="79" t="s">
        <v>197</v>
      </c>
      <c r="Q23" s="79" t="s">
        <v>197</v>
      </c>
      <c r="R23" s="79" t="s">
        <v>197</v>
      </c>
      <c r="S23" s="79" t="s">
        <v>197</v>
      </c>
      <c r="T23" s="79" t="s">
        <v>197</v>
      </c>
      <c r="U23" s="79" t="s">
        <v>197</v>
      </c>
      <c r="V23" s="79" t="s">
        <v>197</v>
      </c>
      <c r="W23" s="79" t="s">
        <v>208</v>
      </c>
      <c r="X23" s="79" t="s">
        <v>208</v>
      </c>
      <c r="Y23" s="79" t="s">
        <v>208</v>
      </c>
      <c r="Z23" s="79" t="s">
        <v>208</v>
      </c>
      <c r="AA23" s="79" t="s">
        <v>208</v>
      </c>
      <c r="AB23" s="79" t="s">
        <v>208</v>
      </c>
      <c r="AC23" s="79" t="s">
        <v>208</v>
      </c>
      <c r="AD23" s="79" t="s">
        <v>208</v>
      </c>
      <c r="AE23" s="79" t="s">
        <v>208</v>
      </c>
      <c r="AF23" s="79" t="s">
        <v>215</v>
      </c>
      <c r="AG23" s="79" t="s">
        <v>215</v>
      </c>
      <c r="AH23" s="79" t="s">
        <v>215</v>
      </c>
      <c r="AI23" s="79" t="s">
        <v>215</v>
      </c>
      <c r="AJ23" s="79" t="s">
        <v>215</v>
      </c>
      <c r="AK23" s="79" t="s">
        <v>215</v>
      </c>
      <c r="AL23" s="79" t="s">
        <v>215</v>
      </c>
      <c r="AM23" s="79" t="s">
        <v>215</v>
      </c>
      <c r="AN23" s="79" t="s">
        <v>215</v>
      </c>
      <c r="AO23" s="79" t="s">
        <v>215</v>
      </c>
      <c r="AP23" s="79" t="s">
        <v>220</v>
      </c>
      <c r="AQ23" s="79" t="s">
        <v>220</v>
      </c>
      <c r="AR23" s="79" t="s">
        <v>220</v>
      </c>
      <c r="AS23" s="79" t="s">
        <v>220</v>
      </c>
      <c r="AT23" s="79" t="s">
        <v>220</v>
      </c>
      <c r="AU23" s="79" t="s">
        <v>220</v>
      </c>
      <c r="AV23" s="79" t="s">
        <v>220</v>
      </c>
      <c r="AW23" s="79" t="s">
        <v>220</v>
      </c>
      <c r="AX23" s="79" t="s">
        <v>220</v>
      </c>
      <c r="AY23" s="79" t="s">
        <v>226</v>
      </c>
      <c r="AZ23" s="79" t="s">
        <v>226</v>
      </c>
      <c r="BA23" s="79" t="s">
        <v>226</v>
      </c>
      <c r="BB23" s="79" t="s">
        <v>226</v>
      </c>
      <c r="BC23" s="79" t="s">
        <v>226</v>
      </c>
      <c r="BD23" s="79" t="s">
        <v>226</v>
      </c>
      <c r="BE23" s="79" t="s">
        <v>226</v>
      </c>
      <c r="BF23" s="79" t="s">
        <v>226</v>
      </c>
      <c r="BG23" s="79" t="s">
        <v>226</v>
      </c>
      <c r="BH23" s="79" t="s">
        <v>226</v>
      </c>
      <c r="BI23" s="79" t="s">
        <v>232</v>
      </c>
      <c r="BJ23" s="79" t="s">
        <v>232</v>
      </c>
      <c r="BK23" s="79" t="s">
        <v>232</v>
      </c>
      <c r="BL23" s="79" t="s">
        <v>232</v>
      </c>
      <c r="BM23" s="79" t="s">
        <v>232</v>
      </c>
      <c r="BN23" s="79" t="s">
        <v>232</v>
      </c>
      <c r="BO23" s="79" t="s">
        <v>232</v>
      </c>
      <c r="BP23" s="79" t="s">
        <v>232</v>
      </c>
      <c r="BQ23" s="79" t="s">
        <v>232</v>
      </c>
      <c r="BR23" s="79" t="s">
        <v>232</v>
      </c>
      <c r="BS23" s="79" t="s">
        <v>232</v>
      </c>
      <c r="BT23" s="79"/>
    </row>
    <row r="24" spans="2:72" x14ac:dyDescent="0.3">
      <c r="B24" s="79">
        <f t="shared" si="2"/>
        <v>82</v>
      </c>
      <c r="C24" s="79" t="s">
        <v>199</v>
      </c>
      <c r="D24" s="79" t="s">
        <v>199</v>
      </c>
      <c r="E24" s="79" t="s">
        <v>198</v>
      </c>
      <c r="F24" s="79" t="s">
        <v>198</v>
      </c>
      <c r="G24" s="79" t="s">
        <v>198</v>
      </c>
      <c r="H24" s="79" t="s">
        <v>198</v>
      </c>
      <c r="I24" s="79" t="s">
        <v>198</v>
      </c>
      <c r="J24" s="79" t="s">
        <v>198</v>
      </c>
      <c r="K24" s="79" t="s">
        <v>198</v>
      </c>
      <c r="L24" s="79" t="s">
        <v>198</v>
      </c>
      <c r="M24" s="79" t="s">
        <v>209</v>
      </c>
      <c r="N24" s="79" t="s">
        <v>209</v>
      </c>
      <c r="O24" s="79" t="s">
        <v>197</v>
      </c>
      <c r="P24" s="79" t="s">
        <v>197</v>
      </c>
      <c r="Q24" s="79" t="s">
        <v>197</v>
      </c>
      <c r="R24" s="79" t="s">
        <v>197</v>
      </c>
      <c r="S24" s="79" t="s">
        <v>197</v>
      </c>
      <c r="T24" s="79" t="s">
        <v>197</v>
      </c>
      <c r="U24" s="79" t="s">
        <v>197</v>
      </c>
      <c r="V24" s="79" t="s">
        <v>216</v>
      </c>
      <c r="W24" s="79" t="s">
        <v>216</v>
      </c>
      <c r="X24" s="79" t="s">
        <v>216</v>
      </c>
      <c r="Y24" s="79" t="s">
        <v>208</v>
      </c>
      <c r="Z24" s="79" t="s">
        <v>208</v>
      </c>
      <c r="AA24" s="79" t="s">
        <v>208</v>
      </c>
      <c r="AB24" s="79" t="s">
        <v>208</v>
      </c>
      <c r="AC24" s="79" t="s">
        <v>208</v>
      </c>
      <c r="AD24" s="79" t="s">
        <v>208</v>
      </c>
      <c r="AE24" s="79" t="s">
        <v>208</v>
      </c>
      <c r="AF24" s="79" t="s">
        <v>221</v>
      </c>
      <c r="AG24" s="79" t="s">
        <v>221</v>
      </c>
      <c r="AH24" s="79" t="s">
        <v>224</v>
      </c>
      <c r="AI24" s="79" t="s">
        <v>215</v>
      </c>
      <c r="AJ24" s="79" t="s">
        <v>215</v>
      </c>
      <c r="AK24" s="79" t="s">
        <v>215</v>
      </c>
      <c r="AL24" s="79" t="s">
        <v>215</v>
      </c>
      <c r="AM24" s="79" t="s">
        <v>215</v>
      </c>
      <c r="AN24" s="79" t="s">
        <v>215</v>
      </c>
      <c r="AO24" s="79" t="s">
        <v>224</v>
      </c>
      <c r="AP24" s="79" t="s">
        <v>224</v>
      </c>
      <c r="AQ24" s="79" t="s">
        <v>230</v>
      </c>
      <c r="AR24" s="79" t="s">
        <v>230</v>
      </c>
      <c r="AS24" s="79" t="s">
        <v>220</v>
      </c>
      <c r="AT24" s="79" t="s">
        <v>220</v>
      </c>
      <c r="AU24" s="79" t="s">
        <v>220</v>
      </c>
      <c r="AV24" s="79" t="s">
        <v>220</v>
      </c>
      <c r="AW24" s="79" t="s">
        <v>220</v>
      </c>
      <c r="AX24" s="79" t="s">
        <v>220</v>
      </c>
      <c r="AY24" s="79" t="s">
        <v>230</v>
      </c>
      <c r="AZ24" s="79" t="s">
        <v>233</v>
      </c>
      <c r="BA24" s="79" t="s">
        <v>233</v>
      </c>
      <c r="BB24" s="79" t="s">
        <v>233</v>
      </c>
      <c r="BC24" s="79" t="s">
        <v>226</v>
      </c>
      <c r="BD24" s="79" t="s">
        <v>226</v>
      </c>
      <c r="BE24" s="79" t="s">
        <v>226</v>
      </c>
      <c r="BF24" s="79" t="s">
        <v>226</v>
      </c>
      <c r="BG24" s="79" t="s">
        <v>226</v>
      </c>
      <c r="BH24" s="79" t="s">
        <v>233</v>
      </c>
      <c r="BI24" s="79" t="s">
        <v>226</v>
      </c>
      <c r="BJ24" s="79" t="s">
        <v>226</v>
      </c>
      <c r="BK24" s="79" t="s">
        <v>226</v>
      </c>
      <c r="BL24" s="79" t="s">
        <v>226</v>
      </c>
      <c r="BM24" s="79" t="s">
        <v>232</v>
      </c>
      <c r="BN24" s="79" t="s">
        <v>232</v>
      </c>
      <c r="BO24" s="79" t="s">
        <v>232</v>
      </c>
      <c r="BP24" s="79" t="s">
        <v>232</v>
      </c>
      <c r="BQ24" s="79" t="s">
        <v>232</v>
      </c>
      <c r="BR24" s="79" t="s">
        <v>232</v>
      </c>
      <c r="BS24" s="79" t="s">
        <v>232</v>
      </c>
      <c r="BT24" s="79" t="s">
        <v>232</v>
      </c>
    </row>
    <row r="25" spans="2:72" x14ac:dyDescent="0.3">
      <c r="B25" s="79">
        <f t="shared" si="2"/>
        <v>84</v>
      </c>
      <c r="C25" s="79" t="s">
        <v>199</v>
      </c>
      <c r="D25" s="79" t="s">
        <v>199</v>
      </c>
      <c r="E25" s="79" t="s">
        <v>199</v>
      </c>
      <c r="F25" s="79" t="s">
        <v>199</v>
      </c>
      <c r="G25" s="79" t="s">
        <v>198</v>
      </c>
      <c r="H25" s="79" t="s">
        <v>198</v>
      </c>
      <c r="I25" s="79" t="s">
        <v>198</v>
      </c>
      <c r="J25" s="79" t="s">
        <v>198</v>
      </c>
      <c r="K25" s="79" t="s">
        <v>198</v>
      </c>
      <c r="L25" s="79" t="s">
        <v>209</v>
      </c>
      <c r="M25" s="79" t="s">
        <v>209</v>
      </c>
      <c r="N25" s="79" t="s">
        <v>209</v>
      </c>
      <c r="O25" s="79" t="s">
        <v>209</v>
      </c>
      <c r="P25" s="79" t="s">
        <v>209</v>
      </c>
      <c r="Q25" s="79" t="s">
        <v>197</v>
      </c>
      <c r="R25" s="79" t="s">
        <v>197</v>
      </c>
      <c r="S25" s="79" t="s">
        <v>197</v>
      </c>
      <c r="T25" s="79" t="s">
        <v>197</v>
      </c>
      <c r="U25" s="79" t="s">
        <v>197</v>
      </c>
      <c r="V25" s="79" t="s">
        <v>216</v>
      </c>
      <c r="W25" s="79" t="s">
        <v>216</v>
      </c>
      <c r="X25" s="79" t="s">
        <v>216</v>
      </c>
      <c r="Y25" s="79" t="s">
        <v>216</v>
      </c>
      <c r="Z25" s="79" t="s">
        <v>216</v>
      </c>
      <c r="AA25" s="79" t="s">
        <v>216</v>
      </c>
      <c r="AB25" s="79" t="s">
        <v>208</v>
      </c>
      <c r="AC25" s="79" t="s">
        <v>208</v>
      </c>
      <c r="AD25" s="79" t="s">
        <v>208</v>
      </c>
      <c r="AE25" s="79" t="s">
        <v>221</v>
      </c>
      <c r="AF25" s="79" t="s">
        <v>221</v>
      </c>
      <c r="AG25" s="79" t="s">
        <v>221</v>
      </c>
      <c r="AH25" s="79" t="s">
        <v>221</v>
      </c>
      <c r="AI25" s="79" t="s">
        <v>221</v>
      </c>
      <c r="AJ25" s="79" t="s">
        <v>224</v>
      </c>
      <c r="AK25" s="79" t="s">
        <v>224</v>
      </c>
      <c r="AL25" s="79" t="s">
        <v>215</v>
      </c>
      <c r="AM25" s="79" t="s">
        <v>215</v>
      </c>
      <c r="AN25" s="79" t="s">
        <v>215</v>
      </c>
      <c r="AO25" s="79" t="s">
        <v>224</v>
      </c>
      <c r="AP25" s="79" t="s">
        <v>224</v>
      </c>
      <c r="AQ25" s="79" t="s">
        <v>224</v>
      </c>
      <c r="AR25" s="79" t="s">
        <v>224</v>
      </c>
      <c r="AS25" s="79" t="s">
        <v>224</v>
      </c>
      <c r="AT25" s="79" t="s">
        <v>230</v>
      </c>
      <c r="AU25" s="79" t="s">
        <v>230</v>
      </c>
      <c r="AV25" s="79" t="s">
        <v>220</v>
      </c>
      <c r="AW25" s="79" t="s">
        <v>220</v>
      </c>
      <c r="AX25" s="79" t="s">
        <v>230</v>
      </c>
      <c r="AY25" s="79" t="s">
        <v>230</v>
      </c>
      <c r="AZ25" s="79" t="s">
        <v>230</v>
      </c>
      <c r="BA25" s="79" t="s">
        <v>230</v>
      </c>
      <c r="BB25" s="79" t="s">
        <v>230</v>
      </c>
      <c r="BC25" s="79" t="s">
        <v>233</v>
      </c>
      <c r="BD25" s="79" t="s">
        <v>233</v>
      </c>
      <c r="BE25" s="79" t="s">
        <v>233</v>
      </c>
      <c r="BF25" s="79" t="s">
        <v>226</v>
      </c>
      <c r="BG25" s="79" t="s">
        <v>226</v>
      </c>
      <c r="BH25" s="79" t="s">
        <v>233</v>
      </c>
      <c r="BI25" s="79" t="s">
        <v>233</v>
      </c>
      <c r="BJ25" s="79" t="s">
        <v>233</v>
      </c>
      <c r="BK25" s="79" t="s">
        <v>233</v>
      </c>
      <c r="BL25" s="79" t="s">
        <v>226</v>
      </c>
      <c r="BM25" s="79" t="s">
        <v>226</v>
      </c>
      <c r="BN25" s="79" t="s">
        <v>226</v>
      </c>
      <c r="BO25" s="79" t="s">
        <v>226</v>
      </c>
      <c r="BP25" s="79" t="s">
        <v>232</v>
      </c>
      <c r="BQ25" s="79" t="s">
        <v>232</v>
      </c>
      <c r="BR25" s="79" t="s">
        <v>232</v>
      </c>
      <c r="BS25" s="79" t="s">
        <v>232</v>
      </c>
      <c r="BT25" s="79" t="s">
        <v>232</v>
      </c>
    </row>
    <row r="26" spans="2:72" x14ac:dyDescent="0.3">
      <c r="B26" s="79">
        <f t="shared" si="2"/>
        <v>86</v>
      </c>
      <c r="C26" s="79" t="s">
        <v>199</v>
      </c>
      <c r="D26" s="79" t="s">
        <v>199</v>
      </c>
      <c r="E26" s="79" t="s">
        <v>199</v>
      </c>
      <c r="F26" s="79" t="s">
        <v>199</v>
      </c>
      <c r="G26" s="79" t="s">
        <v>199</v>
      </c>
      <c r="H26" s="79" t="s">
        <v>199</v>
      </c>
      <c r="I26" s="79" t="s">
        <v>198</v>
      </c>
      <c r="J26" s="79" t="s">
        <v>198</v>
      </c>
      <c r="K26" s="79" t="s">
        <v>198</v>
      </c>
      <c r="L26" s="79" t="s">
        <v>209</v>
      </c>
      <c r="M26" s="79" t="s">
        <v>209</v>
      </c>
      <c r="N26" s="79" t="s">
        <v>209</v>
      </c>
      <c r="O26" s="79" t="s">
        <v>209</v>
      </c>
      <c r="P26" s="79" t="s">
        <v>209</v>
      </c>
      <c r="Q26" s="79" t="s">
        <v>209</v>
      </c>
      <c r="R26" s="79" t="s">
        <v>209</v>
      </c>
      <c r="S26" s="79" t="s">
        <v>209</v>
      </c>
      <c r="T26" s="79" t="s">
        <v>197</v>
      </c>
      <c r="U26" s="79" t="s">
        <v>216</v>
      </c>
      <c r="V26" s="79" t="s">
        <v>216</v>
      </c>
      <c r="W26" s="79" t="s">
        <v>216</v>
      </c>
      <c r="X26" s="79" t="s">
        <v>216</v>
      </c>
      <c r="Y26" s="79" t="s">
        <v>216</v>
      </c>
      <c r="Z26" s="79" t="s">
        <v>216</v>
      </c>
      <c r="AA26" s="79" t="s">
        <v>216</v>
      </c>
      <c r="AB26" s="79" t="s">
        <v>216</v>
      </c>
      <c r="AC26" s="79" t="s">
        <v>216</v>
      </c>
      <c r="AD26" s="79" t="s">
        <v>208</v>
      </c>
      <c r="AE26" s="79" t="s">
        <v>221</v>
      </c>
      <c r="AF26" s="79" t="s">
        <v>221</v>
      </c>
      <c r="AG26" s="79" t="s">
        <v>221</v>
      </c>
      <c r="AH26" s="79" t="s">
        <v>221</v>
      </c>
      <c r="AI26" s="79" t="s">
        <v>221</v>
      </c>
      <c r="AJ26" s="79" t="s">
        <v>221</v>
      </c>
      <c r="AK26" s="79" t="s">
        <v>221</v>
      </c>
      <c r="AL26" s="79" t="s">
        <v>221</v>
      </c>
      <c r="AM26" s="79" t="s">
        <v>224</v>
      </c>
      <c r="AN26" s="79" t="s">
        <v>224</v>
      </c>
      <c r="AO26" s="79" t="s">
        <v>224</v>
      </c>
      <c r="AP26" s="79" t="s">
        <v>224</v>
      </c>
      <c r="AQ26" s="79" t="s">
        <v>224</v>
      </c>
      <c r="AR26" s="79" t="s">
        <v>224</v>
      </c>
      <c r="AS26" s="79" t="s">
        <v>224</v>
      </c>
      <c r="AT26" s="79" t="s">
        <v>224</v>
      </c>
      <c r="AU26" s="79" t="s">
        <v>224</v>
      </c>
      <c r="AV26" s="79" t="s">
        <v>230</v>
      </c>
      <c r="AW26" s="79" t="s">
        <v>230</v>
      </c>
      <c r="AX26" s="79" t="s">
        <v>230</v>
      </c>
      <c r="AY26" s="79" t="s">
        <v>230</v>
      </c>
      <c r="AZ26" s="79" t="s">
        <v>230</v>
      </c>
      <c r="BA26" s="79" t="s">
        <v>230</v>
      </c>
      <c r="BB26" s="79" t="s">
        <v>230</v>
      </c>
      <c r="BC26" s="79" t="s">
        <v>230</v>
      </c>
      <c r="BD26" s="79" t="s">
        <v>230</v>
      </c>
      <c r="BE26" s="79" t="s">
        <v>230</v>
      </c>
      <c r="BF26" s="79" t="s">
        <v>233</v>
      </c>
      <c r="BG26" s="79" t="s">
        <v>233</v>
      </c>
      <c r="BH26" s="79" t="s">
        <v>233</v>
      </c>
      <c r="BI26" s="79" t="s">
        <v>233</v>
      </c>
      <c r="BJ26" s="79" t="s">
        <v>233</v>
      </c>
      <c r="BK26" s="79" t="s">
        <v>233</v>
      </c>
      <c r="BL26" s="79" t="s">
        <v>233</v>
      </c>
      <c r="BM26" s="79" t="s">
        <v>233</v>
      </c>
      <c r="BN26" s="79" t="s">
        <v>233</v>
      </c>
      <c r="BO26" s="79" t="s">
        <v>226</v>
      </c>
      <c r="BP26" s="79" t="s">
        <v>226</v>
      </c>
      <c r="BQ26" s="79" t="s">
        <v>226</v>
      </c>
      <c r="BR26" s="79" t="s">
        <v>226</v>
      </c>
      <c r="BS26" s="79"/>
      <c r="BT26" s="79" t="s">
        <v>232</v>
      </c>
    </row>
    <row r="27" spans="2:72" x14ac:dyDescent="0.3">
      <c r="B27" s="79">
        <f t="shared" si="2"/>
        <v>88</v>
      </c>
      <c r="C27" s="79" t="s">
        <v>199</v>
      </c>
      <c r="D27" s="79" t="s">
        <v>199</v>
      </c>
      <c r="E27" s="79" t="s">
        <v>199</v>
      </c>
      <c r="F27" s="79" t="s">
        <v>199</v>
      </c>
      <c r="G27" s="79" t="s">
        <v>199</v>
      </c>
      <c r="H27" s="79" t="s">
        <v>199</v>
      </c>
      <c r="I27" s="79" t="s">
        <v>199</v>
      </c>
      <c r="J27" s="79" t="s">
        <v>199</v>
      </c>
      <c r="K27" s="79" t="s">
        <v>199</v>
      </c>
      <c r="L27" s="79" t="s">
        <v>199</v>
      </c>
      <c r="M27" s="79" t="s">
        <v>209</v>
      </c>
      <c r="N27" s="79" t="s">
        <v>209</v>
      </c>
      <c r="O27" s="79" t="s">
        <v>209</v>
      </c>
      <c r="P27" s="79" t="s">
        <v>209</v>
      </c>
      <c r="Q27" s="79" t="s">
        <v>209</v>
      </c>
      <c r="R27" s="79" t="s">
        <v>209</v>
      </c>
      <c r="S27" s="79" t="s">
        <v>209</v>
      </c>
      <c r="T27" s="79" t="s">
        <v>209</v>
      </c>
      <c r="U27" s="79" t="s">
        <v>209</v>
      </c>
      <c r="V27" s="79" t="s">
        <v>209</v>
      </c>
      <c r="W27" s="79" t="s">
        <v>216</v>
      </c>
      <c r="X27" s="79" t="s">
        <v>216</v>
      </c>
      <c r="Y27" s="79" t="s">
        <v>216</v>
      </c>
      <c r="Z27" s="79" t="s">
        <v>216</v>
      </c>
      <c r="AA27" s="79" t="s">
        <v>216</v>
      </c>
      <c r="AB27" s="79" t="s">
        <v>216</v>
      </c>
      <c r="AC27" s="79" t="s">
        <v>216</v>
      </c>
      <c r="AD27" s="79" t="s">
        <v>216</v>
      </c>
      <c r="AE27" s="79" t="s">
        <v>216</v>
      </c>
      <c r="AF27" s="79" t="s">
        <v>221</v>
      </c>
      <c r="AG27" s="79" t="s">
        <v>221</v>
      </c>
      <c r="AH27" s="79" t="s">
        <v>221</v>
      </c>
      <c r="AI27" s="79" t="s">
        <v>221</v>
      </c>
      <c r="AJ27" s="79" t="s">
        <v>221</v>
      </c>
      <c r="AK27" s="79" t="s">
        <v>221</v>
      </c>
      <c r="AL27" s="79" t="s">
        <v>221</v>
      </c>
      <c r="AM27" s="79" t="s">
        <v>221</v>
      </c>
      <c r="AN27" s="79" t="s">
        <v>221</v>
      </c>
      <c r="AO27" s="79" t="s">
        <v>221</v>
      </c>
      <c r="AP27" s="79" t="s">
        <v>224</v>
      </c>
      <c r="AQ27" s="79" t="s">
        <v>224</v>
      </c>
      <c r="AR27" s="79" t="s">
        <v>224</v>
      </c>
      <c r="AS27" s="79" t="s">
        <v>224</v>
      </c>
      <c r="AT27" s="79" t="s">
        <v>224</v>
      </c>
      <c r="AU27" s="79" t="s">
        <v>224</v>
      </c>
      <c r="AV27" s="79" t="s">
        <v>224</v>
      </c>
      <c r="AW27" s="79" t="s">
        <v>224</v>
      </c>
      <c r="AX27" s="79" t="s">
        <v>224</v>
      </c>
      <c r="AY27" s="79" t="s">
        <v>230</v>
      </c>
      <c r="AZ27" s="79" t="s">
        <v>230</v>
      </c>
      <c r="BA27" s="79" t="s">
        <v>230</v>
      </c>
      <c r="BB27" s="79" t="s">
        <v>230</v>
      </c>
      <c r="BC27" s="79" t="s">
        <v>230</v>
      </c>
      <c r="BD27" s="79" t="s">
        <v>230</v>
      </c>
      <c r="BE27" s="79" t="s">
        <v>230</v>
      </c>
      <c r="BF27" s="79" t="s">
        <v>230</v>
      </c>
      <c r="BG27" s="79" t="s">
        <v>230</v>
      </c>
      <c r="BH27" s="79" t="s">
        <v>230</v>
      </c>
      <c r="BI27" s="79" t="s">
        <v>233</v>
      </c>
      <c r="BJ27" s="79" t="s">
        <v>233</v>
      </c>
      <c r="BK27" s="79" t="s">
        <v>233</v>
      </c>
      <c r="BL27" s="79" t="s">
        <v>233</v>
      </c>
      <c r="BM27" s="79" t="s">
        <v>233</v>
      </c>
      <c r="BN27" s="79" t="s">
        <v>233</v>
      </c>
      <c r="BO27" s="79" t="s">
        <v>233</v>
      </c>
      <c r="BP27" s="79" t="s">
        <v>233</v>
      </c>
      <c r="BQ27" s="79" t="s">
        <v>233</v>
      </c>
      <c r="BR27" s="79"/>
      <c r="BS27" s="79"/>
      <c r="BT27" s="79"/>
    </row>
    <row r="28" spans="2:72" x14ac:dyDescent="0.3">
      <c r="B28" s="79">
        <f t="shared" si="2"/>
        <v>90</v>
      </c>
      <c r="C28" s="79" t="s">
        <v>200</v>
      </c>
      <c r="D28" s="79" t="s">
        <v>199</v>
      </c>
      <c r="E28" s="79" t="s">
        <v>199</v>
      </c>
      <c r="F28" s="79" t="s">
        <v>199</v>
      </c>
      <c r="G28" s="79" t="s">
        <v>199</v>
      </c>
      <c r="H28" s="79" t="s">
        <v>199</v>
      </c>
      <c r="I28" s="79" t="s">
        <v>199</v>
      </c>
      <c r="J28" s="79" t="s">
        <v>199</v>
      </c>
      <c r="K28" s="79" t="s">
        <v>199</v>
      </c>
      <c r="L28" s="79" t="s">
        <v>199</v>
      </c>
      <c r="M28" s="79" t="s">
        <v>210</v>
      </c>
      <c r="N28" s="79" t="s">
        <v>209</v>
      </c>
      <c r="O28" s="79" t="s">
        <v>209</v>
      </c>
      <c r="P28" s="79" t="s">
        <v>209</v>
      </c>
      <c r="Q28" s="79" t="s">
        <v>209</v>
      </c>
      <c r="R28" s="79" t="s">
        <v>209</v>
      </c>
      <c r="S28" s="79" t="s">
        <v>209</v>
      </c>
      <c r="T28" s="79" t="s">
        <v>209</v>
      </c>
      <c r="U28" s="79" t="s">
        <v>209</v>
      </c>
      <c r="V28" s="79" t="s">
        <v>209</v>
      </c>
      <c r="W28" s="79" t="s">
        <v>217</v>
      </c>
      <c r="X28" s="79" t="s">
        <v>216</v>
      </c>
      <c r="Y28" s="79" t="s">
        <v>216</v>
      </c>
      <c r="Z28" s="79" t="s">
        <v>216</v>
      </c>
      <c r="AA28" s="79" t="s">
        <v>216</v>
      </c>
      <c r="AB28" s="79" t="s">
        <v>216</v>
      </c>
      <c r="AC28" s="79" t="s">
        <v>216</v>
      </c>
      <c r="AD28" s="79" t="s">
        <v>216</v>
      </c>
      <c r="AE28" s="79" t="s">
        <v>216</v>
      </c>
      <c r="AF28" s="79" t="s">
        <v>216</v>
      </c>
      <c r="AG28" s="79" t="s">
        <v>221</v>
      </c>
      <c r="AH28" s="79" t="s">
        <v>221</v>
      </c>
      <c r="AI28" s="79" t="s">
        <v>221</v>
      </c>
      <c r="AJ28" s="79" t="s">
        <v>221</v>
      </c>
      <c r="AK28" s="79" t="s">
        <v>221</v>
      </c>
      <c r="AL28" s="79" t="s">
        <v>221</v>
      </c>
      <c r="AM28" s="79" t="s">
        <v>221</v>
      </c>
      <c r="AN28" s="79" t="s">
        <v>221</v>
      </c>
      <c r="AO28" s="79" t="s">
        <v>221</v>
      </c>
      <c r="AP28" s="79" t="s">
        <v>228</v>
      </c>
      <c r="AQ28" s="79" t="s">
        <v>224</v>
      </c>
      <c r="AR28" s="79" t="s">
        <v>224</v>
      </c>
      <c r="AS28" s="79" t="s">
        <v>224</v>
      </c>
      <c r="AT28" s="79" t="s">
        <v>224</v>
      </c>
      <c r="AU28" s="79" t="s">
        <v>224</v>
      </c>
      <c r="AV28" s="79" t="s">
        <v>224</v>
      </c>
      <c r="AW28" s="79" t="s">
        <v>224</v>
      </c>
      <c r="AX28" s="79" t="s">
        <v>224</v>
      </c>
      <c r="AY28" s="79" t="s">
        <v>224</v>
      </c>
      <c r="AZ28" s="79" t="s">
        <v>234</v>
      </c>
      <c r="BA28" s="79" t="s">
        <v>230</v>
      </c>
      <c r="BB28" s="79" t="s">
        <v>230</v>
      </c>
      <c r="BC28" s="79" t="s">
        <v>230</v>
      </c>
      <c r="BD28" s="79" t="s">
        <v>230</v>
      </c>
      <c r="BE28" s="79" t="s">
        <v>230</v>
      </c>
      <c r="BF28" s="79" t="s">
        <v>230</v>
      </c>
      <c r="BG28" s="79" t="s">
        <v>230</v>
      </c>
      <c r="BH28" s="79" t="s">
        <v>230</v>
      </c>
      <c r="BI28" s="79" t="s">
        <v>238</v>
      </c>
      <c r="BJ28" s="79" t="s">
        <v>238</v>
      </c>
      <c r="BK28" s="79" t="s">
        <v>233</v>
      </c>
      <c r="BL28" s="79" t="s">
        <v>233</v>
      </c>
      <c r="BM28" s="79" t="s">
        <v>233</v>
      </c>
      <c r="BN28" s="79" t="s">
        <v>233</v>
      </c>
      <c r="BO28" s="79" t="s">
        <v>233</v>
      </c>
      <c r="BP28" s="79" t="s">
        <v>233</v>
      </c>
      <c r="BQ28" s="79" t="s">
        <v>233</v>
      </c>
      <c r="BR28" s="79" t="s">
        <v>233</v>
      </c>
      <c r="BS28" s="79" t="s">
        <v>233</v>
      </c>
      <c r="BT28" s="79" t="s">
        <v>233</v>
      </c>
    </row>
    <row r="29" spans="2:72" x14ac:dyDescent="0.3">
      <c r="B29" s="79">
        <f t="shared" si="2"/>
        <v>92</v>
      </c>
      <c r="C29" s="79" t="s">
        <v>200</v>
      </c>
      <c r="D29" s="79" t="s">
        <v>200</v>
      </c>
      <c r="E29" s="79" t="s">
        <v>200</v>
      </c>
      <c r="F29" s="79" t="s">
        <v>199</v>
      </c>
      <c r="G29" s="79" t="s">
        <v>199</v>
      </c>
      <c r="H29" s="79" t="s">
        <v>199</v>
      </c>
      <c r="I29" s="79" t="s">
        <v>199</v>
      </c>
      <c r="J29" s="79" t="s">
        <v>199</v>
      </c>
      <c r="K29" s="79" t="s">
        <v>199</v>
      </c>
      <c r="L29" s="79" t="s">
        <v>199</v>
      </c>
      <c r="M29" s="79" t="s">
        <v>207</v>
      </c>
      <c r="N29" s="79" t="s">
        <v>210</v>
      </c>
      <c r="O29" s="79" t="s">
        <v>210</v>
      </c>
      <c r="P29" s="79" t="s">
        <v>209</v>
      </c>
      <c r="Q29" s="79" t="s">
        <v>209</v>
      </c>
      <c r="R29" s="79" t="s">
        <v>209</v>
      </c>
      <c r="S29" s="79" t="s">
        <v>209</v>
      </c>
      <c r="T29" s="79" t="s">
        <v>209</v>
      </c>
      <c r="U29" s="79" t="s">
        <v>209</v>
      </c>
      <c r="V29" s="79" t="s">
        <v>209</v>
      </c>
      <c r="W29" s="79" t="s">
        <v>217</v>
      </c>
      <c r="X29" s="79" t="s">
        <v>217</v>
      </c>
      <c r="Y29" s="79" t="s">
        <v>217</v>
      </c>
      <c r="Z29" s="79" t="s">
        <v>216</v>
      </c>
      <c r="AA29" s="79" t="s">
        <v>216</v>
      </c>
      <c r="AB29" s="79" t="s">
        <v>216</v>
      </c>
      <c r="AC29" s="79" t="s">
        <v>216</v>
      </c>
      <c r="AD29" s="79" t="s">
        <v>216</v>
      </c>
      <c r="AE29" s="79" t="s">
        <v>216</v>
      </c>
      <c r="AF29" s="79" t="s">
        <v>222</v>
      </c>
      <c r="AG29" s="79" t="s">
        <v>222</v>
      </c>
      <c r="AH29" s="79" t="s">
        <v>222</v>
      </c>
      <c r="AI29" s="79" t="s">
        <v>222</v>
      </c>
      <c r="AJ29" s="79" t="s">
        <v>221</v>
      </c>
      <c r="AK29" s="79" t="s">
        <v>221</v>
      </c>
      <c r="AL29" s="79" t="s">
        <v>221</v>
      </c>
      <c r="AM29" s="79" t="s">
        <v>221</v>
      </c>
      <c r="AN29" s="79" t="s">
        <v>221</v>
      </c>
      <c r="AO29" s="79" t="s">
        <v>221</v>
      </c>
      <c r="AP29" s="79" t="s">
        <v>227</v>
      </c>
      <c r="AQ29" s="79" t="s">
        <v>227</v>
      </c>
      <c r="AR29" s="79" t="s">
        <v>227</v>
      </c>
      <c r="AS29" s="79" t="s">
        <v>228</v>
      </c>
      <c r="AT29" s="79" t="s">
        <v>224</v>
      </c>
      <c r="AU29" s="79" t="s">
        <v>224</v>
      </c>
      <c r="AV29" s="79" t="s">
        <v>224</v>
      </c>
      <c r="AW29" s="79" t="s">
        <v>224</v>
      </c>
      <c r="AX29" s="79" t="s">
        <v>224</v>
      </c>
      <c r="AY29" s="79" t="s">
        <v>228</v>
      </c>
      <c r="AZ29" s="79" t="s">
        <v>228</v>
      </c>
      <c r="BA29" s="79" t="s">
        <v>234</v>
      </c>
      <c r="BB29" s="79" t="s">
        <v>234</v>
      </c>
      <c r="BC29" s="79" t="s">
        <v>234</v>
      </c>
      <c r="BD29" s="79" t="s">
        <v>230</v>
      </c>
      <c r="BE29" s="79" t="s">
        <v>230</v>
      </c>
      <c r="BF29" s="79" t="s">
        <v>230</v>
      </c>
      <c r="BG29" s="79" t="s">
        <v>230</v>
      </c>
      <c r="BH29" s="79" t="s">
        <v>230</v>
      </c>
      <c r="BI29" s="79" t="s">
        <v>238</v>
      </c>
      <c r="BJ29" s="79" t="s">
        <v>238</v>
      </c>
      <c r="BK29" s="79" t="s">
        <v>238</v>
      </c>
      <c r="BL29" s="79" t="s">
        <v>238</v>
      </c>
      <c r="BM29" s="79" t="s">
        <v>238</v>
      </c>
      <c r="BN29" s="79" t="s">
        <v>233</v>
      </c>
      <c r="BO29" s="79" t="s">
        <v>233</v>
      </c>
      <c r="BP29" s="79" t="s">
        <v>233</v>
      </c>
      <c r="BQ29" s="79" t="s">
        <v>233</v>
      </c>
      <c r="BR29" s="79" t="s">
        <v>233</v>
      </c>
      <c r="BS29" s="79" t="s">
        <v>233</v>
      </c>
      <c r="BT29" s="79" t="s">
        <v>233</v>
      </c>
    </row>
    <row r="30" spans="2:72" x14ac:dyDescent="0.3">
      <c r="B30" s="79">
        <f t="shared" si="2"/>
        <v>94</v>
      </c>
      <c r="C30" s="79" t="s">
        <v>200</v>
      </c>
      <c r="D30" s="79" t="s">
        <v>200</v>
      </c>
      <c r="E30" s="79" t="s">
        <v>200</v>
      </c>
      <c r="F30" s="79" t="s">
        <v>200</v>
      </c>
      <c r="G30" s="79" t="s">
        <v>207</v>
      </c>
      <c r="H30" s="79" t="s">
        <v>199</v>
      </c>
      <c r="I30" s="79" t="s">
        <v>199</v>
      </c>
      <c r="J30" s="79" t="s">
        <v>199</v>
      </c>
      <c r="K30" s="79" t="s">
        <v>199</v>
      </c>
      <c r="L30" s="79" t="s">
        <v>199</v>
      </c>
      <c r="M30" s="79" t="s">
        <v>207</v>
      </c>
      <c r="N30" s="79" t="s">
        <v>207</v>
      </c>
      <c r="O30" s="79" t="s">
        <v>210</v>
      </c>
      <c r="P30" s="79" t="s">
        <v>210</v>
      </c>
      <c r="Q30" s="79" t="s">
        <v>210</v>
      </c>
      <c r="R30" s="79" t="s">
        <v>209</v>
      </c>
      <c r="S30" s="79" t="s">
        <v>209</v>
      </c>
      <c r="T30" s="79" t="s">
        <v>209</v>
      </c>
      <c r="U30" s="79" t="s">
        <v>209</v>
      </c>
      <c r="V30" s="79" t="s">
        <v>210</v>
      </c>
      <c r="W30" s="79" t="s">
        <v>217</v>
      </c>
      <c r="X30" s="79" t="s">
        <v>217</v>
      </c>
      <c r="Y30" s="79" t="s">
        <v>217</v>
      </c>
      <c r="Z30" s="79" t="s">
        <v>217</v>
      </c>
      <c r="AA30" s="79" t="s">
        <v>217</v>
      </c>
      <c r="AB30" s="79" t="s">
        <v>217</v>
      </c>
      <c r="AC30" s="79" t="s">
        <v>216</v>
      </c>
      <c r="AD30" s="79" t="s">
        <v>216</v>
      </c>
      <c r="AE30" s="79" t="s">
        <v>216</v>
      </c>
      <c r="AF30" s="79" t="s">
        <v>222</v>
      </c>
      <c r="AG30" s="79" t="s">
        <v>222</v>
      </c>
      <c r="AH30" s="79" t="s">
        <v>222</v>
      </c>
      <c r="AI30" s="79" t="s">
        <v>222</v>
      </c>
      <c r="AJ30" s="79" t="s">
        <v>222</v>
      </c>
      <c r="AK30" s="79" t="s">
        <v>222</v>
      </c>
      <c r="AL30" s="79" t="s">
        <v>222</v>
      </c>
      <c r="AM30" s="79" t="s">
        <v>221</v>
      </c>
      <c r="AN30" s="79" t="s">
        <v>221</v>
      </c>
      <c r="AO30" s="79" t="s">
        <v>227</v>
      </c>
      <c r="AP30" s="79" t="s">
        <v>227</v>
      </c>
      <c r="AQ30" s="79" t="s">
        <v>227</v>
      </c>
      <c r="AR30" s="79" t="s">
        <v>227</v>
      </c>
      <c r="AS30" s="79" t="s">
        <v>227</v>
      </c>
      <c r="AT30" s="79" t="s">
        <v>227</v>
      </c>
      <c r="AU30" s="79" t="s">
        <v>227</v>
      </c>
      <c r="AV30" s="79" t="s">
        <v>228</v>
      </c>
      <c r="AW30" s="79" t="s">
        <v>224</v>
      </c>
      <c r="AX30" s="79" t="s">
        <v>224</v>
      </c>
      <c r="AY30" s="79" t="s">
        <v>228</v>
      </c>
      <c r="AZ30" s="79" t="s">
        <v>228</v>
      </c>
      <c r="BA30" s="79" t="s">
        <v>228</v>
      </c>
      <c r="BB30" s="79" t="s">
        <v>228</v>
      </c>
      <c r="BC30" s="79" t="s">
        <v>228</v>
      </c>
      <c r="BD30" s="79" t="s">
        <v>234</v>
      </c>
      <c r="BE30" s="79" t="s">
        <v>234</v>
      </c>
      <c r="BF30" s="79" t="s">
        <v>234</v>
      </c>
      <c r="BG30" s="79" t="s">
        <v>230</v>
      </c>
      <c r="BH30" s="79" t="s">
        <v>230</v>
      </c>
      <c r="BI30" s="79" t="s">
        <v>234</v>
      </c>
      <c r="BJ30" s="79" t="s">
        <v>234</v>
      </c>
      <c r="BK30" s="79" t="s">
        <v>234</v>
      </c>
      <c r="BL30" s="79" t="s">
        <v>238</v>
      </c>
      <c r="BM30" s="79" t="s">
        <v>238</v>
      </c>
      <c r="BN30" s="79" t="s">
        <v>238</v>
      </c>
      <c r="BO30" s="79" t="s">
        <v>238</v>
      </c>
      <c r="BP30" s="79" t="s">
        <v>238</v>
      </c>
      <c r="BQ30" s="79" t="s">
        <v>238</v>
      </c>
      <c r="BR30" s="79" t="s">
        <v>238</v>
      </c>
      <c r="BS30" s="79" t="s">
        <v>238</v>
      </c>
      <c r="BT30" s="79" t="s">
        <v>233</v>
      </c>
    </row>
    <row r="31" spans="2:72" x14ac:dyDescent="0.3">
      <c r="B31" s="79">
        <f t="shared" si="2"/>
        <v>96</v>
      </c>
      <c r="C31" s="79" t="s">
        <v>200</v>
      </c>
      <c r="D31" s="79" t="s">
        <v>200</v>
      </c>
      <c r="E31" s="79" t="s">
        <v>200</v>
      </c>
      <c r="F31" s="79" t="s">
        <v>200</v>
      </c>
      <c r="G31" s="79" t="s">
        <v>200</v>
      </c>
      <c r="H31" s="79" t="s">
        <v>200</v>
      </c>
      <c r="I31" s="79" t="s">
        <v>207</v>
      </c>
      <c r="J31" s="79" t="s">
        <v>199</v>
      </c>
      <c r="K31" s="79" t="s">
        <v>199</v>
      </c>
      <c r="L31" s="79" t="s">
        <v>207</v>
      </c>
      <c r="M31" s="79" t="s">
        <v>207</v>
      </c>
      <c r="N31" s="79" t="s">
        <v>207</v>
      </c>
      <c r="O31" s="79" t="s">
        <v>207</v>
      </c>
      <c r="P31" s="79" t="s">
        <v>207</v>
      </c>
      <c r="Q31" s="79" t="s">
        <v>210</v>
      </c>
      <c r="R31" s="79" t="s">
        <v>210</v>
      </c>
      <c r="S31" s="79" t="s">
        <v>210</v>
      </c>
      <c r="T31" s="79" t="s">
        <v>209</v>
      </c>
      <c r="U31" s="79" t="s">
        <v>209</v>
      </c>
      <c r="V31" s="79" t="s">
        <v>210</v>
      </c>
      <c r="W31" s="79" t="s">
        <v>210</v>
      </c>
      <c r="X31" s="79" t="s">
        <v>210</v>
      </c>
      <c r="Y31" s="79" t="s">
        <v>210</v>
      </c>
      <c r="Z31" s="79" t="s">
        <v>217</v>
      </c>
      <c r="AA31" s="79" t="s">
        <v>217</v>
      </c>
      <c r="AB31" s="79" t="s">
        <v>217</v>
      </c>
      <c r="AC31" s="79" t="s">
        <v>217</v>
      </c>
      <c r="AD31" s="79" t="s">
        <v>217</v>
      </c>
      <c r="AE31" s="79" t="s">
        <v>216</v>
      </c>
      <c r="AF31" s="79" t="s">
        <v>217</v>
      </c>
      <c r="AG31" s="79" t="s">
        <v>217</v>
      </c>
      <c r="AH31" s="79" t="s">
        <v>222</v>
      </c>
      <c r="AI31" s="79" t="s">
        <v>222</v>
      </c>
      <c r="AJ31" s="79" t="s">
        <v>222</v>
      </c>
      <c r="AK31" s="79" t="s">
        <v>222</v>
      </c>
      <c r="AL31" s="79" t="s">
        <v>222</v>
      </c>
      <c r="AM31" s="79" t="s">
        <v>222</v>
      </c>
      <c r="AN31" s="79" t="s">
        <v>222</v>
      </c>
      <c r="AO31" s="79" t="s">
        <v>222</v>
      </c>
      <c r="AP31" s="79" t="s">
        <v>227</v>
      </c>
      <c r="AQ31" s="79" t="s">
        <v>227</v>
      </c>
      <c r="AR31" s="79" t="s">
        <v>227</v>
      </c>
      <c r="AS31" s="79" t="s">
        <v>227</v>
      </c>
      <c r="AT31" s="79" t="s">
        <v>227</v>
      </c>
      <c r="AU31" s="79" t="s">
        <v>227</v>
      </c>
      <c r="AV31" s="79" t="s">
        <v>227</v>
      </c>
      <c r="AW31" s="79" t="s">
        <v>227</v>
      </c>
      <c r="AX31" s="79" t="s">
        <v>228</v>
      </c>
      <c r="AY31" s="79" t="s">
        <v>228</v>
      </c>
      <c r="AZ31" s="79" t="s">
        <v>228</v>
      </c>
      <c r="BA31" s="79" t="s">
        <v>228</v>
      </c>
      <c r="BB31" s="79" t="s">
        <v>228</v>
      </c>
      <c r="BC31" s="79" t="s">
        <v>228</v>
      </c>
      <c r="BD31" s="79" t="s">
        <v>228</v>
      </c>
      <c r="BE31" s="79" t="s">
        <v>228</v>
      </c>
      <c r="BF31" s="79" t="s">
        <v>234</v>
      </c>
      <c r="BG31" s="79" t="s">
        <v>234</v>
      </c>
      <c r="BH31" s="79" t="s">
        <v>234</v>
      </c>
      <c r="BI31" s="79" t="s">
        <v>234</v>
      </c>
      <c r="BJ31" s="79" t="s">
        <v>234</v>
      </c>
      <c r="BK31" s="79" t="s">
        <v>234</v>
      </c>
      <c r="BL31" s="79" t="s">
        <v>234</v>
      </c>
      <c r="BM31" s="79" t="s">
        <v>234</v>
      </c>
      <c r="BN31" s="79" t="s">
        <v>234</v>
      </c>
      <c r="BO31" s="79" t="s">
        <v>238</v>
      </c>
      <c r="BP31" s="79" t="s">
        <v>238</v>
      </c>
      <c r="BQ31" s="79" t="s">
        <v>238</v>
      </c>
      <c r="BR31" s="79" t="s">
        <v>238</v>
      </c>
      <c r="BS31" s="79" t="s">
        <v>238</v>
      </c>
      <c r="BT31" s="79" t="s">
        <v>238</v>
      </c>
    </row>
    <row r="32" spans="2:72" x14ac:dyDescent="0.3">
      <c r="B32" s="79">
        <f t="shared" si="2"/>
        <v>98</v>
      </c>
      <c r="C32" s="79" t="s">
        <v>200</v>
      </c>
      <c r="D32" s="79" t="s">
        <v>200</v>
      </c>
      <c r="E32" s="79" t="s">
        <v>200</v>
      </c>
      <c r="F32" s="79" t="s">
        <v>200</v>
      </c>
      <c r="G32" s="79" t="s">
        <v>200</v>
      </c>
      <c r="H32" s="79" t="s">
        <v>200</v>
      </c>
      <c r="I32" s="79" t="s">
        <v>200</v>
      </c>
      <c r="J32" s="79" t="s">
        <v>200</v>
      </c>
      <c r="K32" s="79" t="s">
        <v>207</v>
      </c>
      <c r="L32" s="79" t="s">
        <v>207</v>
      </c>
      <c r="M32" s="79" t="s">
        <v>207</v>
      </c>
      <c r="N32" s="79" t="s">
        <v>207</v>
      </c>
      <c r="O32" s="79" t="s">
        <v>207</v>
      </c>
      <c r="P32" s="79" t="s">
        <v>207</v>
      </c>
      <c r="Q32" s="79" t="s">
        <v>207</v>
      </c>
      <c r="R32" s="79" t="s">
        <v>207</v>
      </c>
      <c r="S32" s="79" t="s">
        <v>210</v>
      </c>
      <c r="T32" s="79" t="s">
        <v>210</v>
      </c>
      <c r="U32" s="79" t="s">
        <v>210</v>
      </c>
      <c r="V32" s="79" t="s">
        <v>210</v>
      </c>
      <c r="W32" s="79" t="s">
        <v>210</v>
      </c>
      <c r="X32" s="79" t="s">
        <v>210</v>
      </c>
      <c r="Y32" s="79" t="s">
        <v>210</v>
      </c>
      <c r="Z32" s="79" t="s">
        <v>210</v>
      </c>
      <c r="AA32" s="79" t="s">
        <v>210</v>
      </c>
      <c r="AB32" s="79" t="s">
        <v>217</v>
      </c>
      <c r="AC32" s="79" t="s">
        <v>217</v>
      </c>
      <c r="AD32" s="79" t="s">
        <v>217</v>
      </c>
      <c r="AE32" s="79" t="s">
        <v>217</v>
      </c>
      <c r="AF32" s="79" t="s">
        <v>217</v>
      </c>
      <c r="AG32" s="79" t="s">
        <v>217</v>
      </c>
      <c r="AH32" s="79" t="s">
        <v>217</v>
      </c>
      <c r="AI32" s="79" t="s">
        <v>217</v>
      </c>
      <c r="AJ32" s="79" t="s">
        <v>222</v>
      </c>
      <c r="AK32" s="79" t="s">
        <v>222</v>
      </c>
      <c r="AL32" s="79" t="s">
        <v>222</v>
      </c>
      <c r="AM32" s="79" t="s">
        <v>222</v>
      </c>
      <c r="AN32" s="79" t="s">
        <v>222</v>
      </c>
      <c r="AO32" s="79" t="s">
        <v>222</v>
      </c>
      <c r="AP32" s="79" t="s">
        <v>222</v>
      </c>
      <c r="AQ32" s="79" t="s">
        <v>222</v>
      </c>
      <c r="AR32" s="79" t="s">
        <v>227</v>
      </c>
      <c r="AS32" s="79" t="s">
        <v>227</v>
      </c>
      <c r="AT32" s="79" t="s">
        <v>227</v>
      </c>
      <c r="AU32" s="79" t="s">
        <v>227</v>
      </c>
      <c r="AV32" s="79" t="s">
        <v>227</v>
      </c>
      <c r="AW32" s="79" t="s">
        <v>227</v>
      </c>
      <c r="AX32" s="79" t="s">
        <v>227</v>
      </c>
      <c r="AY32" s="79" t="s">
        <v>227</v>
      </c>
      <c r="AZ32" s="79" t="s">
        <v>227</v>
      </c>
      <c r="BA32" s="79" t="s">
        <v>228</v>
      </c>
      <c r="BB32" s="79" t="s">
        <v>228</v>
      </c>
      <c r="BC32" s="79" t="s">
        <v>228</v>
      </c>
      <c r="BD32" s="79" t="s">
        <v>228</v>
      </c>
      <c r="BE32" s="79" t="s">
        <v>228</v>
      </c>
      <c r="BF32" s="79" t="s">
        <v>228</v>
      </c>
      <c r="BG32" s="79" t="s">
        <v>228</v>
      </c>
      <c r="BH32" s="79" t="s">
        <v>228</v>
      </c>
      <c r="BI32" s="79" t="s">
        <v>234</v>
      </c>
      <c r="BJ32" s="79" t="s">
        <v>234</v>
      </c>
      <c r="BK32" s="79" t="s">
        <v>234</v>
      </c>
      <c r="BL32" s="79" t="s">
        <v>234</v>
      </c>
      <c r="BM32" s="79" t="s">
        <v>234</v>
      </c>
      <c r="BN32" s="79" t="s">
        <v>234</v>
      </c>
      <c r="BO32" s="79" t="s">
        <v>234</v>
      </c>
      <c r="BP32" s="79" t="s">
        <v>234</v>
      </c>
      <c r="BQ32" s="79" t="s">
        <v>234</v>
      </c>
      <c r="BR32" s="79" t="s">
        <v>238</v>
      </c>
      <c r="BS32" s="79" t="s">
        <v>238</v>
      </c>
      <c r="BT32" s="79" t="s">
        <v>238</v>
      </c>
    </row>
    <row r="33" spans="2:72" x14ac:dyDescent="0.3">
      <c r="B33" s="79">
        <f t="shared" si="2"/>
        <v>100</v>
      </c>
      <c r="C33" s="79" t="s">
        <v>201</v>
      </c>
      <c r="D33" s="79" t="s">
        <v>200</v>
      </c>
      <c r="E33" s="79" t="s">
        <v>200</v>
      </c>
      <c r="F33" s="79" t="s">
        <v>200</v>
      </c>
      <c r="G33" s="79" t="s">
        <v>200</v>
      </c>
      <c r="H33" s="79" t="s">
        <v>200</v>
      </c>
      <c r="I33" s="79" t="s">
        <v>200</v>
      </c>
      <c r="J33" s="79" t="s">
        <v>200</v>
      </c>
      <c r="K33" s="79" t="s">
        <v>200</v>
      </c>
      <c r="L33" s="79" t="s">
        <v>200</v>
      </c>
      <c r="M33" s="79" t="s">
        <v>207</v>
      </c>
      <c r="N33" s="79" t="s">
        <v>207</v>
      </c>
      <c r="O33" s="79" t="s">
        <v>207</v>
      </c>
      <c r="P33" s="79" t="s">
        <v>207</v>
      </c>
      <c r="Q33" s="79" t="s">
        <v>207</v>
      </c>
      <c r="R33" s="79" t="s">
        <v>207</v>
      </c>
      <c r="S33" s="79" t="s">
        <v>207</v>
      </c>
      <c r="T33" s="79" t="s">
        <v>207</v>
      </c>
      <c r="U33" s="79" t="s">
        <v>210</v>
      </c>
      <c r="V33" s="79" t="s">
        <v>210</v>
      </c>
      <c r="W33" s="79" t="s">
        <v>210</v>
      </c>
      <c r="X33" s="79" t="s">
        <v>210</v>
      </c>
      <c r="Y33" s="79" t="s">
        <v>210</v>
      </c>
      <c r="Z33" s="79" t="s">
        <v>210</v>
      </c>
      <c r="AA33" s="79" t="s">
        <v>210</v>
      </c>
      <c r="AB33" s="79" t="s">
        <v>210</v>
      </c>
      <c r="AC33" s="79" t="s">
        <v>210</v>
      </c>
      <c r="AD33" s="79" t="s">
        <v>217</v>
      </c>
      <c r="AE33" s="79" t="s">
        <v>217</v>
      </c>
      <c r="AF33" s="79" t="s">
        <v>217</v>
      </c>
      <c r="AG33" s="79" t="s">
        <v>217</v>
      </c>
      <c r="AH33" s="79" t="s">
        <v>217</v>
      </c>
      <c r="AI33" s="79" t="s">
        <v>217</v>
      </c>
      <c r="AJ33" s="79" t="s">
        <v>217</v>
      </c>
      <c r="AK33" s="79" t="s">
        <v>217</v>
      </c>
      <c r="AL33" s="79" t="s">
        <v>222</v>
      </c>
      <c r="AM33" s="79" t="s">
        <v>222</v>
      </c>
      <c r="AN33" s="79" t="s">
        <v>222</v>
      </c>
      <c r="AO33" s="79" t="s">
        <v>222</v>
      </c>
      <c r="AP33" s="79" t="s">
        <v>222</v>
      </c>
      <c r="AQ33" s="79" t="s">
        <v>222</v>
      </c>
      <c r="AR33" s="79" t="s">
        <v>222</v>
      </c>
      <c r="AS33" s="79" t="s">
        <v>222</v>
      </c>
      <c r="AT33" s="79" t="s">
        <v>222</v>
      </c>
      <c r="AU33" s="79" t="s">
        <v>227</v>
      </c>
      <c r="AV33" s="79" t="s">
        <v>227</v>
      </c>
      <c r="AW33" s="79" t="s">
        <v>227</v>
      </c>
      <c r="AX33" s="79" t="s">
        <v>227</v>
      </c>
      <c r="AY33" s="79" t="s">
        <v>227</v>
      </c>
      <c r="AZ33" s="79" t="s">
        <v>227</v>
      </c>
      <c r="BA33" s="79" t="s">
        <v>227</v>
      </c>
      <c r="BB33" s="79" t="s">
        <v>227</v>
      </c>
      <c r="BC33" s="79" t="s">
        <v>228</v>
      </c>
      <c r="BD33" s="79" t="s">
        <v>228</v>
      </c>
      <c r="BE33" s="79" t="s">
        <v>228</v>
      </c>
      <c r="BF33" s="79" t="s">
        <v>228</v>
      </c>
      <c r="BG33" s="79" t="s">
        <v>228</v>
      </c>
      <c r="BH33" s="79" t="s">
        <v>228</v>
      </c>
      <c r="BI33" s="79" t="s">
        <v>228</v>
      </c>
      <c r="BJ33" s="79" t="s">
        <v>228</v>
      </c>
      <c r="BK33" s="79" t="s">
        <v>228</v>
      </c>
      <c r="BL33" s="79" t="s">
        <v>234</v>
      </c>
      <c r="BM33" s="79" t="s">
        <v>234</v>
      </c>
      <c r="BN33" s="79" t="s">
        <v>234</v>
      </c>
      <c r="BO33" s="79" t="s">
        <v>234</v>
      </c>
      <c r="BP33" s="79" t="s">
        <v>234</v>
      </c>
      <c r="BQ33" s="79" t="s">
        <v>234</v>
      </c>
      <c r="BR33" s="79" t="s">
        <v>234</v>
      </c>
      <c r="BS33" s="79" t="s">
        <v>234</v>
      </c>
      <c r="BT33" s="79" t="s">
        <v>234</v>
      </c>
    </row>
    <row r="34" spans="2:72" x14ac:dyDescent="0.3">
      <c r="B34" s="79">
        <f t="shared" si="2"/>
        <v>102</v>
      </c>
      <c r="C34" s="79" t="s">
        <v>201</v>
      </c>
      <c r="D34" s="79" t="s">
        <v>201</v>
      </c>
      <c r="E34" s="79" t="s">
        <v>201</v>
      </c>
      <c r="F34" s="79" t="s">
        <v>200</v>
      </c>
      <c r="G34" s="79" t="s">
        <v>200</v>
      </c>
      <c r="H34" s="79" t="s">
        <v>200</v>
      </c>
      <c r="I34" s="79" t="s">
        <v>200</v>
      </c>
      <c r="J34" s="79" t="s">
        <v>200</v>
      </c>
      <c r="K34" s="79" t="s">
        <v>200</v>
      </c>
      <c r="L34" s="79" t="s">
        <v>200</v>
      </c>
      <c r="M34" s="79" t="s">
        <v>200</v>
      </c>
      <c r="N34" s="79" t="s">
        <v>207</v>
      </c>
      <c r="O34" s="79" t="s">
        <v>207</v>
      </c>
      <c r="P34" s="79" t="s">
        <v>207</v>
      </c>
      <c r="Q34" s="79" t="s">
        <v>207</v>
      </c>
      <c r="R34" s="79" t="s">
        <v>207</v>
      </c>
      <c r="S34" s="79" t="s">
        <v>207</v>
      </c>
      <c r="T34" s="79" t="s">
        <v>207</v>
      </c>
      <c r="U34" s="79" t="s">
        <v>207</v>
      </c>
      <c r="V34" s="79" t="s">
        <v>207</v>
      </c>
      <c r="W34" s="79" t="s">
        <v>210</v>
      </c>
      <c r="X34" s="79" t="s">
        <v>210</v>
      </c>
      <c r="Y34" s="79" t="s">
        <v>210</v>
      </c>
      <c r="Z34" s="79" t="s">
        <v>210</v>
      </c>
      <c r="AA34" s="79" t="s">
        <v>210</v>
      </c>
      <c r="AB34" s="79" t="s">
        <v>210</v>
      </c>
      <c r="AC34" s="79" t="s">
        <v>210</v>
      </c>
      <c r="AD34" s="79" t="s">
        <v>210</v>
      </c>
      <c r="AE34" s="79" t="s">
        <v>210</v>
      </c>
      <c r="AF34" s="79" t="s">
        <v>217</v>
      </c>
      <c r="AG34" s="79" t="s">
        <v>217</v>
      </c>
      <c r="AH34" s="79" t="s">
        <v>217</v>
      </c>
      <c r="AI34" s="79" t="s">
        <v>217</v>
      </c>
      <c r="AJ34" s="79" t="s">
        <v>217</v>
      </c>
      <c r="AK34" s="79" t="s">
        <v>217</v>
      </c>
      <c r="AL34" s="79" t="s">
        <v>217</v>
      </c>
      <c r="AM34" s="79" t="s">
        <v>217</v>
      </c>
      <c r="AN34" s="79" t="s">
        <v>217</v>
      </c>
      <c r="AO34" s="79" t="s">
        <v>222</v>
      </c>
      <c r="AP34" s="79" t="s">
        <v>222</v>
      </c>
      <c r="AQ34" s="79" t="s">
        <v>222</v>
      </c>
      <c r="AR34" s="79" t="s">
        <v>222</v>
      </c>
      <c r="AS34" s="79" t="s">
        <v>222</v>
      </c>
      <c r="AT34" s="79" t="s">
        <v>222</v>
      </c>
      <c r="AU34" s="79" t="s">
        <v>222</v>
      </c>
      <c r="AV34" s="79" t="s">
        <v>222</v>
      </c>
      <c r="AW34" s="79" t="s">
        <v>227</v>
      </c>
      <c r="AX34" s="79" t="s">
        <v>227</v>
      </c>
      <c r="AY34" s="79" t="s">
        <v>227</v>
      </c>
      <c r="AZ34" s="79" t="s">
        <v>227</v>
      </c>
      <c r="BA34" s="79" t="s">
        <v>227</v>
      </c>
      <c r="BB34" s="79" t="s">
        <v>227</v>
      </c>
      <c r="BC34" s="79" t="s">
        <v>227</v>
      </c>
      <c r="BD34" s="79" t="s">
        <v>227</v>
      </c>
      <c r="BE34" s="79" t="s">
        <v>227</v>
      </c>
      <c r="BF34" s="79" t="s">
        <v>228</v>
      </c>
      <c r="BG34" s="79" t="s">
        <v>228</v>
      </c>
      <c r="BH34" s="79" t="s">
        <v>228</v>
      </c>
      <c r="BI34" s="79" t="s">
        <v>228</v>
      </c>
      <c r="BJ34" s="79" t="s">
        <v>228</v>
      </c>
      <c r="BK34" s="79" t="s">
        <v>228</v>
      </c>
      <c r="BL34" s="79" t="s">
        <v>228</v>
      </c>
      <c r="BM34" s="79" t="s">
        <v>228</v>
      </c>
      <c r="BN34" s="79" t="s">
        <v>228</v>
      </c>
      <c r="BO34" s="79" t="s">
        <v>234</v>
      </c>
      <c r="BP34" s="79" t="s">
        <v>234</v>
      </c>
      <c r="BQ34" s="79" t="s">
        <v>234</v>
      </c>
      <c r="BR34" s="79" t="s">
        <v>234</v>
      </c>
      <c r="BS34" s="79" t="s">
        <v>234</v>
      </c>
      <c r="BT34" s="79" t="s">
        <v>234</v>
      </c>
    </row>
    <row r="35" spans="2:72" x14ac:dyDescent="0.3">
      <c r="B35" s="79">
        <f t="shared" si="2"/>
        <v>104</v>
      </c>
      <c r="C35" s="79" t="s">
        <v>201</v>
      </c>
      <c r="D35" s="79" t="s">
        <v>201</v>
      </c>
      <c r="E35" s="79" t="s">
        <v>201</v>
      </c>
      <c r="F35" s="79" t="s">
        <v>201</v>
      </c>
      <c r="G35" s="79" t="s">
        <v>200</v>
      </c>
      <c r="H35" s="79" t="s">
        <v>200</v>
      </c>
      <c r="I35" s="79" t="s">
        <v>200</v>
      </c>
      <c r="J35" s="79" t="s">
        <v>200</v>
      </c>
      <c r="K35" s="79" t="s">
        <v>200</v>
      </c>
      <c r="L35" s="79" t="s">
        <v>200</v>
      </c>
      <c r="M35" s="79" t="s">
        <v>200</v>
      </c>
      <c r="N35" s="79" t="s">
        <v>200</v>
      </c>
      <c r="O35" s="79" t="s">
        <v>200</v>
      </c>
      <c r="P35" s="79" t="s">
        <v>207</v>
      </c>
      <c r="Q35" s="79" t="s">
        <v>207</v>
      </c>
      <c r="R35" s="79" t="s">
        <v>207</v>
      </c>
      <c r="S35" s="79" t="s">
        <v>207</v>
      </c>
      <c r="T35" s="79" t="s">
        <v>207</v>
      </c>
      <c r="U35" s="79" t="s">
        <v>207</v>
      </c>
      <c r="V35" s="79" t="s">
        <v>207</v>
      </c>
      <c r="W35" s="79" t="s">
        <v>207</v>
      </c>
      <c r="X35" s="79" t="s">
        <v>207</v>
      </c>
      <c r="Y35" s="79" t="s">
        <v>210</v>
      </c>
      <c r="Z35" s="79" t="s">
        <v>210</v>
      </c>
      <c r="AA35" s="79" t="s">
        <v>210</v>
      </c>
      <c r="AB35" s="79" t="s">
        <v>210</v>
      </c>
      <c r="AC35" s="79" t="s">
        <v>210</v>
      </c>
      <c r="AD35" s="79" t="s">
        <v>210</v>
      </c>
      <c r="AE35" s="79" t="s">
        <v>210</v>
      </c>
      <c r="AF35" s="79" t="s">
        <v>210</v>
      </c>
      <c r="AG35" s="79" t="s">
        <v>210</v>
      </c>
      <c r="AH35" s="79" t="s">
        <v>217</v>
      </c>
      <c r="AI35" s="79" t="s">
        <v>217</v>
      </c>
      <c r="AJ35" s="79" t="s">
        <v>217</v>
      </c>
      <c r="AK35" s="79" t="s">
        <v>217</v>
      </c>
      <c r="AL35" s="79" t="s">
        <v>217</v>
      </c>
      <c r="AM35" s="79" t="s">
        <v>217</v>
      </c>
      <c r="AN35" s="79" t="s">
        <v>217</v>
      </c>
      <c r="AO35" s="79" t="s">
        <v>217</v>
      </c>
      <c r="AP35" s="79" t="s">
        <v>217</v>
      </c>
      <c r="AQ35" s="79" t="s">
        <v>222</v>
      </c>
      <c r="AR35" s="79" t="s">
        <v>222</v>
      </c>
      <c r="AS35" s="79" t="s">
        <v>222</v>
      </c>
      <c r="AT35" s="79" t="s">
        <v>222</v>
      </c>
      <c r="AU35" s="79" t="s">
        <v>222</v>
      </c>
      <c r="AV35" s="79" t="s">
        <v>222</v>
      </c>
      <c r="AW35" s="79" t="s">
        <v>222</v>
      </c>
      <c r="AX35" s="79" t="s">
        <v>222</v>
      </c>
      <c r="AY35" s="79" t="s">
        <v>222</v>
      </c>
      <c r="AZ35" s="79" t="s">
        <v>227</v>
      </c>
      <c r="BA35" s="79" t="s">
        <v>227</v>
      </c>
      <c r="BB35" s="79" t="s">
        <v>227</v>
      </c>
      <c r="BC35" s="79" t="s">
        <v>227</v>
      </c>
      <c r="BD35" s="79" t="s">
        <v>227</v>
      </c>
      <c r="BE35" s="79" t="s">
        <v>227</v>
      </c>
      <c r="BF35" s="79" t="s">
        <v>227</v>
      </c>
      <c r="BG35" s="79" t="s">
        <v>227</v>
      </c>
      <c r="BH35" s="79" t="s">
        <v>227</v>
      </c>
      <c r="BI35" s="79" t="s">
        <v>228</v>
      </c>
      <c r="BJ35" s="79" t="s">
        <v>228</v>
      </c>
      <c r="BK35" s="79" t="s">
        <v>228</v>
      </c>
      <c r="BL35" s="79" t="s">
        <v>228</v>
      </c>
      <c r="BM35" s="79" t="s">
        <v>228</v>
      </c>
      <c r="BN35" s="79" t="s">
        <v>228</v>
      </c>
      <c r="BO35" s="79" t="s">
        <v>228</v>
      </c>
      <c r="BP35" s="79" t="s">
        <v>228</v>
      </c>
      <c r="BQ35" s="79" t="s">
        <v>228</v>
      </c>
      <c r="BR35" s="79" t="s">
        <v>234</v>
      </c>
      <c r="BS35" s="79" t="s">
        <v>234</v>
      </c>
      <c r="BT35" s="79" t="s">
        <v>234</v>
      </c>
    </row>
    <row r="36" spans="2:72" x14ac:dyDescent="0.3">
      <c r="B36" s="79">
        <f t="shared" si="2"/>
        <v>106</v>
      </c>
      <c r="C36" s="79" t="s">
        <v>201</v>
      </c>
      <c r="D36" s="79" t="s">
        <v>201</v>
      </c>
      <c r="E36" s="79" t="s">
        <v>201</v>
      </c>
      <c r="F36" s="79" t="s">
        <v>201</v>
      </c>
      <c r="G36" s="79" t="s">
        <v>201</v>
      </c>
      <c r="H36" s="79" t="s">
        <v>201</v>
      </c>
      <c r="I36" s="79" t="s">
        <v>200</v>
      </c>
      <c r="J36" s="79" t="s">
        <v>200</v>
      </c>
      <c r="K36" s="79" t="s">
        <v>200</v>
      </c>
      <c r="L36" s="79" t="s">
        <v>200</v>
      </c>
      <c r="M36" s="79" t="s">
        <v>200</v>
      </c>
      <c r="N36" s="79" t="s">
        <v>200</v>
      </c>
      <c r="O36" s="79" t="s">
        <v>200</v>
      </c>
      <c r="P36" s="79" t="s">
        <v>200</v>
      </c>
      <c r="Q36" s="79" t="s">
        <v>200</v>
      </c>
      <c r="R36" s="79" t="s">
        <v>207</v>
      </c>
      <c r="S36" s="79" t="s">
        <v>207</v>
      </c>
      <c r="T36" s="79" t="s">
        <v>207</v>
      </c>
      <c r="U36" s="79" t="s">
        <v>207</v>
      </c>
      <c r="V36" s="79" t="s">
        <v>207</v>
      </c>
      <c r="W36" s="79" t="s">
        <v>207</v>
      </c>
      <c r="X36" s="79" t="s">
        <v>207</v>
      </c>
      <c r="Y36" s="79" t="s">
        <v>207</v>
      </c>
      <c r="Z36" s="79" t="s">
        <v>207</v>
      </c>
      <c r="AA36" s="79" t="s">
        <v>210</v>
      </c>
      <c r="AB36" s="79" t="s">
        <v>210</v>
      </c>
      <c r="AC36" s="79" t="s">
        <v>210</v>
      </c>
      <c r="AD36" s="79" t="s">
        <v>210</v>
      </c>
      <c r="AE36" s="79" t="s">
        <v>210</v>
      </c>
      <c r="AF36" s="79" t="s">
        <v>210</v>
      </c>
      <c r="AG36" s="79" t="s">
        <v>210</v>
      </c>
      <c r="AH36" s="79" t="s">
        <v>210</v>
      </c>
      <c r="AI36" s="79" t="s">
        <v>210</v>
      </c>
      <c r="AJ36" s="79" t="s">
        <v>217</v>
      </c>
      <c r="AK36" s="79" t="s">
        <v>217</v>
      </c>
      <c r="AL36" s="79" t="s">
        <v>217</v>
      </c>
      <c r="AM36" s="79" t="s">
        <v>217</v>
      </c>
      <c r="AN36" s="79" t="s">
        <v>217</v>
      </c>
      <c r="AO36" s="79" t="s">
        <v>217</v>
      </c>
      <c r="AP36" s="79" t="s">
        <v>217</v>
      </c>
      <c r="AQ36" s="79" t="s">
        <v>217</v>
      </c>
      <c r="AR36" s="79" t="s">
        <v>217</v>
      </c>
      <c r="AS36" s="79" t="s">
        <v>222</v>
      </c>
      <c r="AT36" s="79" t="s">
        <v>222</v>
      </c>
      <c r="AU36" s="79" t="s">
        <v>222</v>
      </c>
      <c r="AV36" s="79" t="s">
        <v>222</v>
      </c>
      <c r="AW36" s="79" t="s">
        <v>222</v>
      </c>
      <c r="AX36" s="79" t="s">
        <v>222</v>
      </c>
      <c r="AY36" s="79" t="s">
        <v>222</v>
      </c>
      <c r="AZ36" s="79" t="s">
        <v>222</v>
      </c>
      <c r="BA36" s="79" t="s">
        <v>222</v>
      </c>
      <c r="BB36" s="79" t="s">
        <v>227</v>
      </c>
      <c r="BC36" s="79" t="s">
        <v>227</v>
      </c>
      <c r="BD36" s="79" t="s">
        <v>227</v>
      </c>
      <c r="BE36" s="79" t="s">
        <v>227</v>
      </c>
      <c r="BF36" s="79" t="s">
        <v>227</v>
      </c>
      <c r="BG36" s="79" t="s">
        <v>227</v>
      </c>
      <c r="BH36" s="79" t="s">
        <v>227</v>
      </c>
      <c r="BI36" s="79" t="s">
        <v>227</v>
      </c>
      <c r="BJ36" s="79" t="s">
        <v>227</v>
      </c>
      <c r="BK36" s="79" t="s">
        <v>228</v>
      </c>
      <c r="BL36" s="79" t="s">
        <v>228</v>
      </c>
      <c r="BM36" s="79" t="s">
        <v>228</v>
      </c>
      <c r="BN36" s="79" t="s">
        <v>228</v>
      </c>
      <c r="BO36" s="79" t="s">
        <v>228</v>
      </c>
      <c r="BP36" s="79" t="s">
        <v>228</v>
      </c>
      <c r="BQ36" s="79" t="s">
        <v>228</v>
      </c>
      <c r="BR36" s="79" t="s">
        <v>228</v>
      </c>
      <c r="BS36" s="79" t="s">
        <v>228</v>
      </c>
      <c r="BT36" s="79" t="s">
        <v>234</v>
      </c>
    </row>
    <row r="37" spans="2:72" x14ac:dyDescent="0.3">
      <c r="B37" s="79">
        <f t="shared" si="2"/>
        <v>108</v>
      </c>
      <c r="C37" s="79" t="s">
        <v>201</v>
      </c>
      <c r="D37" s="79" t="s">
        <v>201</v>
      </c>
      <c r="E37" s="79" t="s">
        <v>201</v>
      </c>
      <c r="F37" s="79" t="s">
        <v>201</v>
      </c>
      <c r="G37" s="79" t="s">
        <v>201</v>
      </c>
      <c r="H37" s="79" t="s">
        <v>201</v>
      </c>
      <c r="I37" s="79" t="s">
        <v>201</v>
      </c>
      <c r="J37" s="79" t="s">
        <v>201</v>
      </c>
      <c r="K37" s="79" t="s">
        <v>200</v>
      </c>
      <c r="L37" s="79" t="s">
        <v>200</v>
      </c>
      <c r="M37" s="79" t="s">
        <v>200</v>
      </c>
      <c r="N37" s="79" t="s">
        <v>200</v>
      </c>
      <c r="O37" s="79" t="s">
        <v>200</v>
      </c>
      <c r="P37" s="79" t="s">
        <v>200</v>
      </c>
      <c r="Q37" s="79" t="s">
        <v>200</v>
      </c>
      <c r="R37" s="79" t="s">
        <v>200</v>
      </c>
      <c r="S37" s="79" t="s">
        <v>200</v>
      </c>
      <c r="T37" s="79" t="s">
        <v>207</v>
      </c>
      <c r="U37" s="79" t="s">
        <v>207</v>
      </c>
      <c r="V37" s="79" t="s">
        <v>207</v>
      </c>
      <c r="W37" s="79" t="s">
        <v>207</v>
      </c>
      <c r="X37" s="79" t="s">
        <v>207</v>
      </c>
      <c r="Y37" s="79" t="s">
        <v>207</v>
      </c>
      <c r="Z37" s="79" t="s">
        <v>207</v>
      </c>
      <c r="AA37" s="79" t="s">
        <v>207</v>
      </c>
      <c r="AB37" s="79" t="s">
        <v>207</v>
      </c>
      <c r="AC37" s="79" t="s">
        <v>210</v>
      </c>
      <c r="AD37" s="79" t="s">
        <v>210</v>
      </c>
      <c r="AE37" s="79" t="s">
        <v>210</v>
      </c>
      <c r="AF37" s="79" t="s">
        <v>210</v>
      </c>
      <c r="AG37" s="79" t="s">
        <v>210</v>
      </c>
      <c r="AH37" s="79" t="s">
        <v>210</v>
      </c>
      <c r="AI37" s="79" t="s">
        <v>210</v>
      </c>
      <c r="AJ37" s="79" t="s">
        <v>210</v>
      </c>
      <c r="AK37" s="79" t="s">
        <v>210</v>
      </c>
      <c r="AL37" s="79" t="s">
        <v>217</v>
      </c>
      <c r="AM37" s="79" t="s">
        <v>217</v>
      </c>
      <c r="AN37" s="79" t="s">
        <v>217</v>
      </c>
      <c r="AO37" s="79" t="s">
        <v>217</v>
      </c>
      <c r="AP37" s="79" t="s">
        <v>217</v>
      </c>
      <c r="AQ37" s="79" t="s">
        <v>217</v>
      </c>
      <c r="AR37" s="79" t="s">
        <v>217</v>
      </c>
      <c r="AS37" s="79" t="s">
        <v>217</v>
      </c>
      <c r="AT37" s="79" t="s">
        <v>217</v>
      </c>
      <c r="AU37" s="79" t="s">
        <v>222</v>
      </c>
      <c r="AV37" s="79" t="s">
        <v>222</v>
      </c>
      <c r="AW37" s="79" t="s">
        <v>222</v>
      </c>
      <c r="AX37" s="79" t="s">
        <v>222</v>
      </c>
      <c r="AY37" s="79" t="s">
        <v>222</v>
      </c>
      <c r="AZ37" s="79" t="s">
        <v>222</v>
      </c>
      <c r="BA37" s="79" t="s">
        <v>222</v>
      </c>
      <c r="BB37" s="79" t="s">
        <v>222</v>
      </c>
      <c r="BC37" s="79" t="s">
        <v>222</v>
      </c>
      <c r="BD37" s="79" t="s">
        <v>222</v>
      </c>
      <c r="BE37" s="79" t="s">
        <v>227</v>
      </c>
      <c r="BF37" s="79" t="s">
        <v>227</v>
      </c>
      <c r="BG37" s="79" t="s">
        <v>227</v>
      </c>
      <c r="BH37" s="79" t="s">
        <v>227</v>
      </c>
      <c r="BI37" s="79" t="s">
        <v>227</v>
      </c>
      <c r="BJ37" s="79" t="s">
        <v>227</v>
      </c>
      <c r="BK37" s="79" t="s">
        <v>227</v>
      </c>
      <c r="BL37" s="79" t="s">
        <v>227</v>
      </c>
      <c r="BM37" s="79" t="s">
        <v>227</v>
      </c>
      <c r="BN37" s="79" t="s">
        <v>228</v>
      </c>
      <c r="BO37" s="79" t="s">
        <v>228</v>
      </c>
      <c r="BP37" s="79" t="s">
        <v>228</v>
      </c>
      <c r="BQ37" s="79" t="s">
        <v>228</v>
      </c>
      <c r="BR37" s="79" t="s">
        <v>228</v>
      </c>
      <c r="BS37" s="79" t="s">
        <v>228</v>
      </c>
      <c r="BT37" s="79" t="s">
        <v>228</v>
      </c>
    </row>
    <row r="38" spans="2:72" x14ac:dyDescent="0.3">
      <c r="B38" s="79">
        <f t="shared" si="2"/>
        <v>110</v>
      </c>
      <c r="C38" s="79" t="s">
        <v>201</v>
      </c>
      <c r="D38" s="79" t="s">
        <v>201</v>
      </c>
      <c r="E38" s="79" t="s">
        <v>201</v>
      </c>
      <c r="F38" s="79" t="s">
        <v>201</v>
      </c>
      <c r="G38" s="79" t="s">
        <v>201</v>
      </c>
      <c r="H38" s="79" t="s">
        <v>201</v>
      </c>
      <c r="I38" s="79" t="s">
        <v>201</v>
      </c>
      <c r="J38" s="79" t="s">
        <v>201</v>
      </c>
      <c r="K38" s="79" t="s">
        <v>201</v>
      </c>
      <c r="L38" s="79" t="s">
        <v>200</v>
      </c>
      <c r="M38" s="79" t="s">
        <v>200</v>
      </c>
      <c r="N38" s="79" t="s">
        <v>200</v>
      </c>
      <c r="O38" s="79" t="s">
        <v>200</v>
      </c>
      <c r="P38" s="79" t="s">
        <v>200</v>
      </c>
      <c r="Q38" s="79" t="s">
        <v>200</v>
      </c>
      <c r="R38" s="79" t="s">
        <v>200</v>
      </c>
      <c r="S38" s="79" t="s">
        <v>200</v>
      </c>
      <c r="T38" s="79" t="s">
        <v>200</v>
      </c>
      <c r="U38" s="79" t="s">
        <v>200</v>
      </c>
      <c r="V38" s="79" t="s">
        <v>207</v>
      </c>
      <c r="W38" s="79" t="s">
        <v>207</v>
      </c>
      <c r="X38" s="79" t="s">
        <v>207</v>
      </c>
      <c r="Y38" s="79" t="s">
        <v>207</v>
      </c>
      <c r="Z38" s="79" t="s">
        <v>207</v>
      </c>
      <c r="AA38" s="79" t="s">
        <v>207</v>
      </c>
      <c r="AB38" s="79" t="s">
        <v>207</v>
      </c>
      <c r="AC38" s="79" t="s">
        <v>207</v>
      </c>
      <c r="AD38" s="79" t="s">
        <v>207</v>
      </c>
      <c r="AE38" s="79" t="s">
        <v>210</v>
      </c>
      <c r="AF38" s="79" t="s">
        <v>210</v>
      </c>
      <c r="AG38" s="79" t="s">
        <v>210</v>
      </c>
      <c r="AH38" s="79" t="s">
        <v>210</v>
      </c>
      <c r="AI38" s="79" t="s">
        <v>210</v>
      </c>
      <c r="AJ38" s="79" t="s">
        <v>210</v>
      </c>
      <c r="AK38" s="79" t="s">
        <v>210</v>
      </c>
      <c r="AL38" s="79" t="s">
        <v>210</v>
      </c>
      <c r="AM38" s="79" t="s">
        <v>210</v>
      </c>
      <c r="AN38" s="79" t="s">
        <v>217</v>
      </c>
      <c r="AO38" s="79" t="s">
        <v>217</v>
      </c>
      <c r="AP38" s="79" t="s">
        <v>217</v>
      </c>
      <c r="AQ38" s="79" t="s">
        <v>217</v>
      </c>
      <c r="AR38" s="79" t="s">
        <v>217</v>
      </c>
      <c r="AS38" s="79" t="s">
        <v>217</v>
      </c>
      <c r="AT38" s="79" t="s">
        <v>217</v>
      </c>
      <c r="AU38" s="79" t="s">
        <v>217</v>
      </c>
      <c r="AV38" s="79" t="s">
        <v>217</v>
      </c>
      <c r="AW38" s="79" t="s">
        <v>217</v>
      </c>
      <c r="AX38" s="79" t="s">
        <v>222</v>
      </c>
      <c r="AY38" s="79" t="s">
        <v>222</v>
      </c>
      <c r="AZ38" s="79" t="s">
        <v>222</v>
      </c>
      <c r="BA38" s="79" t="s">
        <v>222</v>
      </c>
      <c r="BB38" s="79" t="s">
        <v>222</v>
      </c>
      <c r="BC38" s="79" t="s">
        <v>222</v>
      </c>
      <c r="BD38" s="79" t="s">
        <v>222</v>
      </c>
      <c r="BE38" s="79" t="s">
        <v>222</v>
      </c>
      <c r="BF38" s="79" t="s">
        <v>222</v>
      </c>
      <c r="BG38" s="79" t="s">
        <v>227</v>
      </c>
      <c r="BH38" s="79" t="s">
        <v>227</v>
      </c>
      <c r="BI38" s="79" t="s">
        <v>227</v>
      </c>
      <c r="BJ38" s="79" t="s">
        <v>227</v>
      </c>
      <c r="BK38" s="79" t="s">
        <v>227</v>
      </c>
      <c r="BL38" s="79" t="s">
        <v>227</v>
      </c>
      <c r="BM38" s="79" t="s">
        <v>227</v>
      </c>
      <c r="BN38" s="79" t="s">
        <v>227</v>
      </c>
      <c r="BO38" s="79" t="s">
        <v>227</v>
      </c>
      <c r="BP38" s="79" t="s">
        <v>228</v>
      </c>
      <c r="BQ38" s="79" t="s">
        <v>228</v>
      </c>
      <c r="BR38" s="79" t="s">
        <v>228</v>
      </c>
      <c r="BS38" s="79" t="s">
        <v>228</v>
      </c>
      <c r="BT38" s="79" t="s">
        <v>228</v>
      </c>
    </row>
    <row r="39" spans="2:72" x14ac:dyDescent="0.3">
      <c r="B39" s="79">
        <f t="shared" si="2"/>
        <v>112</v>
      </c>
      <c r="C39" s="79" t="s">
        <v>201</v>
      </c>
      <c r="D39" s="79" t="s">
        <v>201</v>
      </c>
      <c r="E39" s="79" t="s">
        <v>201</v>
      </c>
      <c r="F39" s="79" t="s">
        <v>201</v>
      </c>
      <c r="G39" s="79" t="s">
        <v>201</v>
      </c>
      <c r="H39" s="79" t="s">
        <v>201</v>
      </c>
      <c r="I39" s="79" t="s">
        <v>201</v>
      </c>
      <c r="J39" s="79" t="s">
        <v>201</v>
      </c>
      <c r="K39" s="79" t="s">
        <v>201</v>
      </c>
      <c r="L39" s="79" t="s">
        <v>201</v>
      </c>
      <c r="M39" s="79" t="s">
        <v>201</v>
      </c>
      <c r="N39" s="79" t="s">
        <v>200</v>
      </c>
      <c r="O39" s="79" t="s">
        <v>200</v>
      </c>
      <c r="P39" s="79" t="s">
        <v>200</v>
      </c>
      <c r="Q39" s="79" t="s">
        <v>200</v>
      </c>
      <c r="R39" s="79" t="s">
        <v>200</v>
      </c>
      <c r="S39" s="79" t="s">
        <v>200</v>
      </c>
      <c r="T39" s="79" t="s">
        <v>200</v>
      </c>
      <c r="U39" s="79" t="s">
        <v>200</v>
      </c>
      <c r="V39" s="79" t="s">
        <v>200</v>
      </c>
      <c r="W39" s="79" t="s">
        <v>207</v>
      </c>
      <c r="X39" s="79" t="s">
        <v>207</v>
      </c>
      <c r="Y39" s="79" t="s">
        <v>207</v>
      </c>
      <c r="Z39" s="79" t="s">
        <v>207</v>
      </c>
      <c r="AA39" s="79" t="s">
        <v>207</v>
      </c>
      <c r="AB39" s="79" t="s">
        <v>207</v>
      </c>
      <c r="AC39" s="79" t="s">
        <v>207</v>
      </c>
      <c r="AD39" s="79" t="s">
        <v>207</v>
      </c>
      <c r="AE39" s="79" t="s">
        <v>207</v>
      </c>
      <c r="AF39" s="79" t="s">
        <v>207</v>
      </c>
      <c r="AG39" s="79" t="s">
        <v>210</v>
      </c>
      <c r="AH39" s="79" t="s">
        <v>210</v>
      </c>
      <c r="AI39" s="79" t="s">
        <v>210</v>
      </c>
      <c r="AJ39" s="79" t="s">
        <v>210</v>
      </c>
      <c r="AK39" s="79" t="s">
        <v>210</v>
      </c>
      <c r="AL39" s="79" t="s">
        <v>210</v>
      </c>
      <c r="AM39" s="79" t="s">
        <v>210</v>
      </c>
      <c r="AN39" s="79" t="s">
        <v>210</v>
      </c>
      <c r="AO39" s="79" t="s">
        <v>210</v>
      </c>
      <c r="AP39" s="79" t="s">
        <v>217</v>
      </c>
      <c r="AQ39" s="79" t="s">
        <v>217</v>
      </c>
      <c r="AR39" s="79" t="s">
        <v>217</v>
      </c>
      <c r="AS39" s="79" t="s">
        <v>217</v>
      </c>
      <c r="AT39" s="79" t="s">
        <v>217</v>
      </c>
      <c r="AU39" s="79" t="s">
        <v>217</v>
      </c>
      <c r="AV39" s="79" t="s">
        <v>217</v>
      </c>
      <c r="AW39" s="79" t="s">
        <v>217</v>
      </c>
      <c r="AX39" s="79" t="s">
        <v>217</v>
      </c>
      <c r="AY39" s="79" t="s">
        <v>217</v>
      </c>
      <c r="AZ39" s="79" t="s">
        <v>222</v>
      </c>
      <c r="BA39" s="79" t="s">
        <v>222</v>
      </c>
      <c r="BB39" s="79" t="s">
        <v>222</v>
      </c>
      <c r="BC39" s="79" t="s">
        <v>222</v>
      </c>
      <c r="BD39" s="79" t="s">
        <v>222</v>
      </c>
      <c r="BE39" s="79" t="s">
        <v>222</v>
      </c>
      <c r="BF39" s="79" t="s">
        <v>222</v>
      </c>
      <c r="BG39" s="79" t="s">
        <v>222</v>
      </c>
      <c r="BH39" s="79" t="s">
        <v>222</v>
      </c>
      <c r="BI39" s="79" t="s">
        <v>222</v>
      </c>
      <c r="BJ39" s="79" t="s">
        <v>227</v>
      </c>
      <c r="BK39" s="79" t="s">
        <v>227</v>
      </c>
      <c r="BL39" s="79" t="s">
        <v>227</v>
      </c>
      <c r="BM39" s="79" t="s">
        <v>227</v>
      </c>
      <c r="BN39" s="79" t="s">
        <v>227</v>
      </c>
      <c r="BO39" s="79" t="s">
        <v>227</v>
      </c>
      <c r="BP39" s="79" t="s">
        <v>227</v>
      </c>
      <c r="BQ39" s="79" t="s">
        <v>227</v>
      </c>
      <c r="BR39" s="79" t="s">
        <v>227</v>
      </c>
      <c r="BS39" s="79" t="s">
        <v>228</v>
      </c>
      <c r="BT39" s="79" t="s">
        <v>228</v>
      </c>
    </row>
    <row r="40" spans="2:72" x14ac:dyDescent="0.3">
      <c r="B40" s="79">
        <f t="shared" si="2"/>
        <v>114</v>
      </c>
      <c r="C40" s="79" t="s">
        <v>202</v>
      </c>
      <c r="D40" s="79" t="s">
        <v>201</v>
      </c>
      <c r="E40" s="79" t="s">
        <v>201</v>
      </c>
      <c r="F40" s="79" t="s">
        <v>201</v>
      </c>
      <c r="G40" s="79" t="s">
        <v>201</v>
      </c>
      <c r="H40" s="79" t="s">
        <v>201</v>
      </c>
      <c r="I40" s="79" t="s">
        <v>201</v>
      </c>
      <c r="J40" s="79" t="s">
        <v>201</v>
      </c>
      <c r="K40" s="79" t="s">
        <v>201</v>
      </c>
      <c r="L40" s="79" t="s">
        <v>201</v>
      </c>
      <c r="M40" s="79" t="s">
        <v>201</v>
      </c>
      <c r="N40" s="79" t="s">
        <v>200</v>
      </c>
      <c r="O40" s="79" t="s">
        <v>200</v>
      </c>
      <c r="P40" s="79" t="s">
        <v>200</v>
      </c>
      <c r="Q40" s="79" t="s">
        <v>200</v>
      </c>
      <c r="R40" s="79" t="s">
        <v>200</v>
      </c>
      <c r="S40" s="79" t="s">
        <v>200</v>
      </c>
      <c r="T40" s="79" t="s">
        <v>200</v>
      </c>
      <c r="U40" s="79" t="s">
        <v>200</v>
      </c>
      <c r="V40" s="79" t="s">
        <v>200</v>
      </c>
      <c r="W40" s="79" t="s">
        <v>200</v>
      </c>
      <c r="X40" s="79" t="s">
        <v>207</v>
      </c>
      <c r="Y40" s="79" t="s">
        <v>207</v>
      </c>
      <c r="Z40" s="79" t="s">
        <v>207</v>
      </c>
      <c r="AA40" s="79" t="s">
        <v>207</v>
      </c>
      <c r="AB40" s="79" t="s">
        <v>207</v>
      </c>
      <c r="AC40" s="79" t="s">
        <v>207</v>
      </c>
      <c r="AD40" s="79" t="s">
        <v>207</v>
      </c>
      <c r="AE40" s="79" t="s">
        <v>207</v>
      </c>
      <c r="AF40" s="79" t="s">
        <v>207</v>
      </c>
      <c r="AG40" s="79" t="s">
        <v>210</v>
      </c>
      <c r="AH40" s="79" t="s">
        <v>210</v>
      </c>
      <c r="AI40" s="79" t="s">
        <v>210</v>
      </c>
      <c r="AJ40" s="79" t="s">
        <v>210</v>
      </c>
      <c r="AK40" s="79" t="s">
        <v>210</v>
      </c>
      <c r="AL40" s="79" t="s">
        <v>210</v>
      </c>
      <c r="AM40" s="79" t="s">
        <v>210</v>
      </c>
      <c r="AN40" s="79" t="s">
        <v>210</v>
      </c>
      <c r="AO40" s="79" t="s">
        <v>210</v>
      </c>
      <c r="AP40" s="79" t="s">
        <v>210</v>
      </c>
      <c r="AQ40" s="79" t="s">
        <v>217</v>
      </c>
      <c r="AR40" s="79" t="s">
        <v>217</v>
      </c>
      <c r="AS40" s="79" t="s">
        <v>217</v>
      </c>
      <c r="AT40" s="79" t="s">
        <v>217</v>
      </c>
      <c r="AU40" s="79" t="s">
        <v>217</v>
      </c>
      <c r="AV40" s="79" t="s">
        <v>217</v>
      </c>
      <c r="AW40" s="79" t="s">
        <v>217</v>
      </c>
      <c r="AX40" s="79" t="s">
        <v>217</v>
      </c>
      <c r="AY40" s="79" t="s">
        <v>217</v>
      </c>
      <c r="AZ40" s="79" t="s">
        <v>217</v>
      </c>
      <c r="BA40" s="79" t="s">
        <v>222</v>
      </c>
      <c r="BB40" s="79" t="s">
        <v>222</v>
      </c>
      <c r="BC40" s="79" t="s">
        <v>222</v>
      </c>
      <c r="BD40" s="79" t="s">
        <v>222</v>
      </c>
      <c r="BE40" s="79" t="s">
        <v>222</v>
      </c>
      <c r="BF40" s="79" t="s">
        <v>222</v>
      </c>
      <c r="BG40" s="79" t="s">
        <v>222</v>
      </c>
      <c r="BH40" s="79" t="s">
        <v>222</v>
      </c>
      <c r="BI40" s="79" t="s">
        <v>222</v>
      </c>
      <c r="BJ40" s="79" t="s">
        <v>239</v>
      </c>
      <c r="BK40" s="79" t="s">
        <v>227</v>
      </c>
      <c r="BL40" s="79" t="s">
        <v>227</v>
      </c>
      <c r="BM40" s="79" t="s">
        <v>227</v>
      </c>
      <c r="BN40" s="79" t="s">
        <v>227</v>
      </c>
      <c r="BO40" s="79" t="s">
        <v>227</v>
      </c>
      <c r="BP40" s="79" t="s">
        <v>227</v>
      </c>
      <c r="BQ40" s="79" t="s">
        <v>227</v>
      </c>
      <c r="BR40" s="79" t="s">
        <v>227</v>
      </c>
      <c r="BS40" s="79" t="s">
        <v>227</v>
      </c>
      <c r="BT40" s="79" t="s">
        <v>227</v>
      </c>
    </row>
    <row r="41" spans="2:72" x14ac:dyDescent="0.3">
      <c r="B41" s="79">
        <f t="shared" si="2"/>
        <v>116</v>
      </c>
      <c r="C41" s="79" t="s">
        <v>202</v>
      </c>
      <c r="D41" s="79" t="s">
        <v>202</v>
      </c>
      <c r="E41" s="79" t="s">
        <v>201</v>
      </c>
      <c r="F41" s="79" t="s">
        <v>201</v>
      </c>
      <c r="G41" s="79" t="s">
        <v>201</v>
      </c>
      <c r="H41" s="79" t="s">
        <v>201</v>
      </c>
      <c r="I41" s="79" t="s">
        <v>201</v>
      </c>
      <c r="J41" s="79" t="s">
        <v>201</v>
      </c>
      <c r="K41" s="79" t="s">
        <v>201</v>
      </c>
      <c r="L41" s="79" t="s">
        <v>201</v>
      </c>
      <c r="M41" s="79" t="s">
        <v>201</v>
      </c>
      <c r="N41" s="79" t="s">
        <v>213</v>
      </c>
      <c r="O41" s="79" t="s">
        <v>200</v>
      </c>
      <c r="P41" s="79" t="s">
        <v>200</v>
      </c>
      <c r="Q41" s="79" t="s">
        <v>200</v>
      </c>
      <c r="R41" s="79" t="s">
        <v>200</v>
      </c>
      <c r="S41" s="79" t="s">
        <v>200</v>
      </c>
      <c r="T41" s="79" t="s">
        <v>200</v>
      </c>
      <c r="U41" s="79" t="s">
        <v>200</v>
      </c>
      <c r="V41" s="79" t="s">
        <v>200</v>
      </c>
      <c r="W41" s="79" t="s">
        <v>200</v>
      </c>
      <c r="X41" s="79" t="s">
        <v>218</v>
      </c>
      <c r="Y41" s="79" t="s">
        <v>207</v>
      </c>
      <c r="Z41" s="79" t="s">
        <v>207</v>
      </c>
      <c r="AA41" s="79" t="s">
        <v>207</v>
      </c>
      <c r="AB41" s="79" t="s">
        <v>207</v>
      </c>
      <c r="AC41" s="79" t="s">
        <v>207</v>
      </c>
      <c r="AD41" s="79" t="s">
        <v>207</v>
      </c>
      <c r="AE41" s="79" t="s">
        <v>207</v>
      </c>
      <c r="AF41" s="79" t="s">
        <v>207</v>
      </c>
      <c r="AG41" s="79" t="s">
        <v>223</v>
      </c>
      <c r="AH41" s="79" t="s">
        <v>223</v>
      </c>
      <c r="AI41" s="79" t="s">
        <v>210</v>
      </c>
      <c r="AJ41" s="79" t="s">
        <v>210</v>
      </c>
      <c r="AK41" s="79" t="s">
        <v>210</v>
      </c>
      <c r="AL41" s="79" t="s">
        <v>210</v>
      </c>
      <c r="AM41" s="79" t="s">
        <v>210</v>
      </c>
      <c r="AN41" s="79" t="s">
        <v>210</v>
      </c>
      <c r="AO41" s="79" t="s">
        <v>210</v>
      </c>
      <c r="AP41" s="79" t="s">
        <v>210</v>
      </c>
      <c r="AQ41" s="79" t="s">
        <v>229</v>
      </c>
      <c r="AR41" s="79" t="s">
        <v>229</v>
      </c>
      <c r="AS41" s="79" t="s">
        <v>217</v>
      </c>
      <c r="AT41" s="79" t="s">
        <v>217</v>
      </c>
      <c r="AU41" s="79" t="s">
        <v>217</v>
      </c>
      <c r="AV41" s="79" t="s">
        <v>217</v>
      </c>
      <c r="AW41" s="79" t="s">
        <v>217</v>
      </c>
      <c r="AX41" s="79" t="s">
        <v>217</v>
      </c>
      <c r="AY41" s="79" t="s">
        <v>217</v>
      </c>
      <c r="AZ41" s="79" t="s">
        <v>235</v>
      </c>
      <c r="BA41" s="79" t="s">
        <v>235</v>
      </c>
      <c r="BB41" s="79" t="s">
        <v>237</v>
      </c>
      <c r="BC41" s="79" t="s">
        <v>222</v>
      </c>
      <c r="BD41" s="79" t="s">
        <v>222</v>
      </c>
      <c r="BE41" s="79" t="s">
        <v>222</v>
      </c>
      <c r="BF41" s="79" t="s">
        <v>222</v>
      </c>
      <c r="BG41" s="79" t="s">
        <v>222</v>
      </c>
      <c r="BH41" s="79" t="s">
        <v>222</v>
      </c>
      <c r="BI41" s="79" t="s">
        <v>222</v>
      </c>
      <c r="BJ41" s="79" t="s">
        <v>239</v>
      </c>
      <c r="BK41" s="79" t="s">
        <v>239</v>
      </c>
      <c r="BL41" s="79" t="s">
        <v>239</v>
      </c>
      <c r="BM41" s="79" t="s">
        <v>227</v>
      </c>
      <c r="BN41" s="79" t="s">
        <v>227</v>
      </c>
      <c r="BO41" s="79" t="s">
        <v>227</v>
      </c>
      <c r="BP41" s="79" t="s">
        <v>227</v>
      </c>
      <c r="BQ41" s="79" t="s">
        <v>227</v>
      </c>
      <c r="BR41" s="79" t="s">
        <v>227</v>
      </c>
      <c r="BS41" s="79" t="s">
        <v>227</v>
      </c>
      <c r="BT41" s="79" t="s">
        <v>227</v>
      </c>
    </row>
    <row r="42" spans="2:72" x14ac:dyDescent="0.3">
      <c r="B42" s="79">
        <f t="shared" si="2"/>
        <v>118</v>
      </c>
      <c r="C42" s="79" t="s">
        <v>202</v>
      </c>
      <c r="D42" s="79" t="s">
        <v>202</v>
      </c>
      <c r="E42" s="79" t="s">
        <v>202</v>
      </c>
      <c r="F42" s="79" t="s">
        <v>202</v>
      </c>
      <c r="G42" s="79" t="s">
        <v>201</v>
      </c>
      <c r="H42" s="79" t="s">
        <v>201</v>
      </c>
      <c r="I42" s="79" t="s">
        <v>201</v>
      </c>
      <c r="J42" s="79" t="s">
        <v>201</v>
      </c>
      <c r="K42" s="79" t="s">
        <v>201</v>
      </c>
      <c r="L42" s="79" t="s">
        <v>201</v>
      </c>
      <c r="M42" s="79" t="s">
        <v>201</v>
      </c>
      <c r="N42" s="79" t="s">
        <v>211</v>
      </c>
      <c r="O42" s="79" t="s">
        <v>211</v>
      </c>
      <c r="P42" s="79" t="s">
        <v>213</v>
      </c>
      <c r="Q42" s="79" t="s">
        <v>200</v>
      </c>
      <c r="R42" s="79" t="s">
        <v>200</v>
      </c>
      <c r="S42" s="79" t="s">
        <v>200</v>
      </c>
      <c r="T42" s="79" t="s">
        <v>200</v>
      </c>
      <c r="U42" s="79" t="s">
        <v>200</v>
      </c>
      <c r="V42" s="79" t="s">
        <v>200</v>
      </c>
      <c r="W42" s="79" t="s">
        <v>213</v>
      </c>
      <c r="X42" s="79" t="s">
        <v>218</v>
      </c>
      <c r="Y42" s="79" t="s">
        <v>218</v>
      </c>
      <c r="Z42" s="79" t="s">
        <v>218</v>
      </c>
      <c r="AA42" s="79" t="s">
        <v>207</v>
      </c>
      <c r="AB42" s="79" t="s">
        <v>207</v>
      </c>
      <c r="AC42" s="79" t="s">
        <v>207</v>
      </c>
      <c r="AD42" s="79" t="s">
        <v>207</v>
      </c>
      <c r="AE42" s="79" t="s">
        <v>207</v>
      </c>
      <c r="AF42" s="79" t="s">
        <v>207</v>
      </c>
      <c r="AG42" s="79" t="s">
        <v>223</v>
      </c>
      <c r="AH42" s="79" t="s">
        <v>223</v>
      </c>
      <c r="AI42" s="79" t="s">
        <v>223</v>
      </c>
      <c r="AJ42" s="79" t="s">
        <v>223</v>
      </c>
      <c r="AK42" s="79" t="s">
        <v>223</v>
      </c>
      <c r="AL42" s="79" t="s">
        <v>210</v>
      </c>
      <c r="AM42" s="79" t="s">
        <v>210</v>
      </c>
      <c r="AN42" s="79" t="s">
        <v>210</v>
      </c>
      <c r="AO42" s="79" t="s">
        <v>210</v>
      </c>
      <c r="AP42" s="79" t="s">
        <v>210</v>
      </c>
      <c r="AQ42" s="79" t="s">
        <v>229</v>
      </c>
      <c r="AR42" s="79" t="s">
        <v>229</v>
      </c>
      <c r="AS42" s="79" t="s">
        <v>229</v>
      </c>
      <c r="AT42" s="79" t="s">
        <v>229</v>
      </c>
      <c r="AU42" s="79" t="s">
        <v>229</v>
      </c>
      <c r="AV42" s="79" t="s">
        <v>217</v>
      </c>
      <c r="AW42" s="79" t="s">
        <v>217</v>
      </c>
      <c r="AX42" s="79" t="s">
        <v>217</v>
      </c>
      <c r="AY42" s="79" t="s">
        <v>217</v>
      </c>
      <c r="AZ42" s="79" t="s">
        <v>235</v>
      </c>
      <c r="BA42" s="79" t="s">
        <v>235</v>
      </c>
      <c r="BB42" s="79" t="s">
        <v>235</v>
      </c>
      <c r="BC42" s="79" t="s">
        <v>235</v>
      </c>
      <c r="BD42" s="79" t="s">
        <v>235</v>
      </c>
      <c r="BE42" s="79" t="s">
        <v>237</v>
      </c>
      <c r="BF42" s="79" t="s">
        <v>222</v>
      </c>
      <c r="BG42" s="79" t="s">
        <v>222</v>
      </c>
      <c r="BH42" s="79" t="s">
        <v>222</v>
      </c>
      <c r="BI42" s="79" t="s">
        <v>222</v>
      </c>
      <c r="BJ42" s="79" t="s">
        <v>237</v>
      </c>
      <c r="BK42" s="79" t="s">
        <v>237</v>
      </c>
      <c r="BL42" s="79" t="s">
        <v>237</v>
      </c>
      <c r="BM42" s="79" t="s">
        <v>239</v>
      </c>
      <c r="BN42" s="79" t="s">
        <v>239</v>
      </c>
      <c r="BO42" s="79" t="s">
        <v>239</v>
      </c>
      <c r="BP42" s="79" t="s">
        <v>227</v>
      </c>
      <c r="BQ42" s="79" t="s">
        <v>227</v>
      </c>
      <c r="BR42" s="79" t="s">
        <v>227</v>
      </c>
      <c r="BS42" s="79" t="s">
        <v>239</v>
      </c>
      <c r="BT42" s="79" t="s">
        <v>239</v>
      </c>
    </row>
    <row r="43" spans="2:72" x14ac:dyDescent="0.3">
      <c r="B43" s="79">
        <f t="shared" si="2"/>
        <v>120</v>
      </c>
      <c r="C43" s="79" t="s">
        <v>202</v>
      </c>
      <c r="D43" s="79" t="s">
        <v>202</v>
      </c>
      <c r="E43" s="79" t="s">
        <v>202</v>
      </c>
      <c r="F43" s="79" t="s">
        <v>202</v>
      </c>
      <c r="G43" s="79" t="s">
        <v>202</v>
      </c>
      <c r="H43" s="79" t="s">
        <v>201</v>
      </c>
      <c r="I43" s="79" t="s">
        <v>201</v>
      </c>
      <c r="J43" s="79" t="s">
        <v>201</v>
      </c>
      <c r="K43" s="79" t="s">
        <v>201</v>
      </c>
      <c r="L43" s="79" t="s">
        <v>201</v>
      </c>
      <c r="M43" s="79" t="s">
        <v>211</v>
      </c>
      <c r="N43" s="79" t="s">
        <v>211</v>
      </c>
      <c r="O43" s="79" t="s">
        <v>211</v>
      </c>
      <c r="P43" s="79" t="s">
        <v>211</v>
      </c>
      <c r="Q43" s="79" t="s">
        <v>211</v>
      </c>
      <c r="R43" s="79" t="s">
        <v>213</v>
      </c>
      <c r="S43" s="79" t="s">
        <v>200</v>
      </c>
      <c r="T43" s="79" t="s">
        <v>200</v>
      </c>
      <c r="U43" s="79" t="s">
        <v>200</v>
      </c>
      <c r="V43" s="79" t="s">
        <v>200</v>
      </c>
      <c r="W43" s="79" t="s">
        <v>213</v>
      </c>
      <c r="X43" s="79" t="s">
        <v>213</v>
      </c>
      <c r="Y43" s="79" t="s">
        <v>213</v>
      </c>
      <c r="Z43" s="79" t="s">
        <v>218</v>
      </c>
      <c r="AA43" s="79" t="s">
        <v>218</v>
      </c>
      <c r="AB43" s="79" t="s">
        <v>218</v>
      </c>
      <c r="AC43" s="79" t="s">
        <v>207</v>
      </c>
      <c r="AD43" s="79" t="s">
        <v>207</v>
      </c>
      <c r="AE43" s="79" t="s">
        <v>207</v>
      </c>
      <c r="AF43" s="79" t="s">
        <v>207</v>
      </c>
      <c r="AG43" s="79" t="s">
        <v>218</v>
      </c>
      <c r="AH43" s="79" t="s">
        <v>223</v>
      </c>
      <c r="AI43" s="79" t="s">
        <v>223</v>
      </c>
      <c r="AJ43" s="79" t="s">
        <v>223</v>
      </c>
      <c r="AK43" s="79" t="s">
        <v>223</v>
      </c>
      <c r="AL43" s="79" t="s">
        <v>223</v>
      </c>
      <c r="AM43" s="79" t="s">
        <v>223</v>
      </c>
      <c r="AN43" s="79" t="s">
        <v>210</v>
      </c>
      <c r="AO43" s="79" t="s">
        <v>210</v>
      </c>
      <c r="AP43" s="79" t="s">
        <v>229</v>
      </c>
      <c r="AQ43" s="79" t="s">
        <v>229</v>
      </c>
      <c r="AR43" s="79" t="s">
        <v>229</v>
      </c>
      <c r="AS43" s="79" t="s">
        <v>229</v>
      </c>
      <c r="AT43" s="79" t="s">
        <v>229</v>
      </c>
      <c r="AU43" s="79" t="s">
        <v>229</v>
      </c>
      <c r="AV43" s="79" t="s">
        <v>229</v>
      </c>
      <c r="AW43" s="79" t="s">
        <v>229</v>
      </c>
      <c r="AX43" s="79" t="s">
        <v>217</v>
      </c>
      <c r="AY43" s="79" t="s">
        <v>217</v>
      </c>
      <c r="AZ43" s="79" t="s">
        <v>235</v>
      </c>
      <c r="BA43" s="79" t="s">
        <v>235</v>
      </c>
      <c r="BB43" s="79" t="s">
        <v>235</v>
      </c>
      <c r="BC43" s="79" t="s">
        <v>235</v>
      </c>
      <c r="BD43" s="79" t="s">
        <v>235</v>
      </c>
      <c r="BE43" s="79" t="s">
        <v>235</v>
      </c>
      <c r="BF43" s="79" t="s">
        <v>235</v>
      </c>
      <c r="BG43" s="79" t="s">
        <v>237</v>
      </c>
      <c r="BH43" s="79" t="s">
        <v>222</v>
      </c>
      <c r="BI43" s="79" t="s">
        <v>222</v>
      </c>
      <c r="BJ43" s="79" t="s">
        <v>237</v>
      </c>
      <c r="BK43" s="79" t="s">
        <v>237</v>
      </c>
      <c r="BL43" s="79" t="s">
        <v>237</v>
      </c>
      <c r="BM43" s="79" t="s">
        <v>237</v>
      </c>
      <c r="BN43" s="79" t="s">
        <v>237</v>
      </c>
      <c r="BO43" s="79" t="s">
        <v>239</v>
      </c>
      <c r="BP43" s="79" t="s">
        <v>239</v>
      </c>
      <c r="BQ43" s="79" t="s">
        <v>239</v>
      </c>
      <c r="BR43" s="79" t="s">
        <v>239</v>
      </c>
      <c r="BS43" s="79" t="s">
        <v>239</v>
      </c>
      <c r="BT43" s="79" t="s">
        <v>239</v>
      </c>
    </row>
    <row r="44" spans="2:72" x14ac:dyDescent="0.3">
      <c r="B44" s="79">
        <f t="shared" si="2"/>
        <v>122</v>
      </c>
      <c r="C44" s="79" t="s">
        <v>202</v>
      </c>
      <c r="D44" s="79" t="s">
        <v>202</v>
      </c>
      <c r="E44" s="79" t="s">
        <v>202</v>
      </c>
      <c r="F44" s="79" t="s">
        <v>202</v>
      </c>
      <c r="G44" s="79" t="s">
        <v>202</v>
      </c>
      <c r="H44" s="79" t="s">
        <v>202</v>
      </c>
      <c r="I44" s="79" t="s">
        <v>202</v>
      </c>
      <c r="J44" s="79" t="s">
        <v>201</v>
      </c>
      <c r="K44" s="79" t="s">
        <v>201</v>
      </c>
      <c r="L44" s="79" t="s">
        <v>201</v>
      </c>
      <c r="M44" s="79" t="s">
        <v>211</v>
      </c>
      <c r="N44" s="79" t="s">
        <v>211</v>
      </c>
      <c r="O44" s="79" t="s">
        <v>211</v>
      </c>
      <c r="P44" s="79" t="s">
        <v>211</v>
      </c>
      <c r="Q44" s="79" t="s">
        <v>211</v>
      </c>
      <c r="R44" s="79" t="s">
        <v>211</v>
      </c>
      <c r="S44" s="79" t="s">
        <v>213</v>
      </c>
      <c r="T44" s="79" t="s">
        <v>213</v>
      </c>
      <c r="U44" s="79" t="s">
        <v>200</v>
      </c>
      <c r="V44" s="79" t="s">
        <v>200</v>
      </c>
      <c r="W44" s="79" t="s">
        <v>213</v>
      </c>
      <c r="X44" s="79" t="s">
        <v>213</v>
      </c>
      <c r="Y44" s="79" t="s">
        <v>213</v>
      </c>
      <c r="Z44" s="79" t="s">
        <v>213</v>
      </c>
      <c r="AA44" s="79" t="s">
        <v>213</v>
      </c>
      <c r="AB44" s="79" t="s">
        <v>218</v>
      </c>
      <c r="AC44" s="79" t="s">
        <v>218</v>
      </c>
      <c r="AD44" s="79" t="s">
        <v>218</v>
      </c>
      <c r="AE44" s="79" t="s">
        <v>207</v>
      </c>
      <c r="AF44" s="79" t="s">
        <v>207</v>
      </c>
      <c r="AG44" s="79" t="s">
        <v>218</v>
      </c>
      <c r="AH44" s="79" t="s">
        <v>218</v>
      </c>
      <c r="AI44" s="79" t="s">
        <v>218</v>
      </c>
      <c r="AJ44" s="79" t="s">
        <v>223</v>
      </c>
      <c r="AK44" s="79" t="s">
        <v>223</v>
      </c>
      <c r="AL44" s="79" t="s">
        <v>223</v>
      </c>
      <c r="AM44" s="79" t="s">
        <v>223</v>
      </c>
      <c r="AN44" s="79" t="s">
        <v>223</v>
      </c>
      <c r="AO44" s="79" t="s">
        <v>223</v>
      </c>
      <c r="AP44" s="79" t="s">
        <v>223</v>
      </c>
      <c r="AQ44" s="79" t="s">
        <v>223</v>
      </c>
      <c r="AR44" s="79" t="s">
        <v>229</v>
      </c>
      <c r="AS44" s="79" t="s">
        <v>229</v>
      </c>
      <c r="AT44" s="79" t="s">
        <v>229</v>
      </c>
      <c r="AU44" s="79" t="s">
        <v>229</v>
      </c>
      <c r="AV44" s="79" t="s">
        <v>229</v>
      </c>
      <c r="AW44" s="79" t="s">
        <v>229</v>
      </c>
      <c r="AX44" s="79" t="s">
        <v>229</v>
      </c>
      <c r="AY44" s="79" t="s">
        <v>229</v>
      </c>
      <c r="AZ44" s="79" t="s">
        <v>229</v>
      </c>
      <c r="BA44" s="79" t="s">
        <v>235</v>
      </c>
      <c r="BB44" s="79" t="s">
        <v>235</v>
      </c>
      <c r="BC44" s="79" t="s">
        <v>235</v>
      </c>
      <c r="BD44" s="79" t="s">
        <v>235</v>
      </c>
      <c r="BE44" s="79" t="s">
        <v>235</v>
      </c>
      <c r="BF44" s="79" t="s">
        <v>235</v>
      </c>
      <c r="BG44" s="79" t="s">
        <v>235</v>
      </c>
      <c r="BH44" s="79" t="s">
        <v>235</v>
      </c>
      <c r="BI44" s="79" t="s">
        <v>237</v>
      </c>
      <c r="BJ44" s="79" t="s">
        <v>237</v>
      </c>
      <c r="BK44" s="79" t="s">
        <v>237</v>
      </c>
      <c r="BL44" s="79" t="s">
        <v>237</v>
      </c>
      <c r="BM44" s="79" t="s">
        <v>237</v>
      </c>
      <c r="BN44" s="79" t="s">
        <v>237</v>
      </c>
      <c r="BO44" s="79" t="s">
        <v>237</v>
      </c>
      <c r="BP44" s="79" t="s">
        <v>237</v>
      </c>
      <c r="BQ44" s="79" t="s">
        <v>239</v>
      </c>
      <c r="BR44" s="79" t="s">
        <v>239</v>
      </c>
      <c r="BS44" s="79" t="s">
        <v>239</v>
      </c>
      <c r="BT44" s="79" t="s">
        <v>239</v>
      </c>
    </row>
    <row r="45" spans="2:72" x14ac:dyDescent="0.3">
      <c r="B45" s="79">
        <f t="shared" si="2"/>
        <v>124</v>
      </c>
      <c r="C45" s="79" t="s">
        <v>203</v>
      </c>
      <c r="D45" s="79" t="s">
        <v>202</v>
      </c>
      <c r="E45" s="79" t="s">
        <v>202</v>
      </c>
      <c r="F45" s="79" t="s">
        <v>202</v>
      </c>
      <c r="G45" s="79" t="s">
        <v>202</v>
      </c>
      <c r="H45" s="79" t="s">
        <v>202</v>
      </c>
      <c r="I45" s="79" t="s">
        <v>202</v>
      </c>
      <c r="J45" s="79" t="s">
        <v>202</v>
      </c>
      <c r="K45" s="79" t="s">
        <v>202</v>
      </c>
      <c r="L45" s="79" t="s">
        <v>201</v>
      </c>
      <c r="M45" s="79" t="s">
        <v>211</v>
      </c>
      <c r="N45" s="79" t="s">
        <v>211</v>
      </c>
      <c r="O45" s="79" t="s">
        <v>211</v>
      </c>
      <c r="P45" s="79" t="s">
        <v>211</v>
      </c>
      <c r="Q45" s="79" t="s">
        <v>211</v>
      </c>
      <c r="R45" s="79" t="s">
        <v>211</v>
      </c>
      <c r="S45" s="79" t="s">
        <v>211</v>
      </c>
      <c r="T45" s="79" t="s">
        <v>211</v>
      </c>
      <c r="U45" s="79" t="s">
        <v>213</v>
      </c>
      <c r="V45" s="79" t="s">
        <v>213</v>
      </c>
      <c r="W45" s="79" t="s">
        <v>213</v>
      </c>
      <c r="X45" s="79" t="s">
        <v>213</v>
      </c>
      <c r="Y45" s="79" t="s">
        <v>213</v>
      </c>
      <c r="Z45" s="79" t="s">
        <v>213</v>
      </c>
      <c r="AA45" s="79" t="s">
        <v>213</v>
      </c>
      <c r="AB45" s="79" t="s">
        <v>213</v>
      </c>
      <c r="AC45" s="79" t="s">
        <v>218</v>
      </c>
      <c r="AD45" s="79" t="s">
        <v>218</v>
      </c>
      <c r="AE45" s="79" t="s">
        <v>218</v>
      </c>
      <c r="AF45" s="79" t="s">
        <v>218</v>
      </c>
      <c r="AG45" s="79" t="s">
        <v>218</v>
      </c>
      <c r="AH45" s="79" t="s">
        <v>218</v>
      </c>
      <c r="AI45" s="79" t="s">
        <v>218</v>
      </c>
      <c r="AJ45" s="79" t="s">
        <v>218</v>
      </c>
      <c r="AK45" s="79" t="s">
        <v>218</v>
      </c>
      <c r="AL45" s="79" t="s">
        <v>223</v>
      </c>
      <c r="AM45" s="79" t="s">
        <v>223</v>
      </c>
      <c r="AN45" s="79" t="s">
        <v>223</v>
      </c>
      <c r="AO45" s="79" t="s">
        <v>223</v>
      </c>
      <c r="AP45" s="79" t="s">
        <v>223</v>
      </c>
      <c r="AQ45" s="79" t="s">
        <v>223</v>
      </c>
      <c r="AR45" s="79" t="s">
        <v>223</v>
      </c>
      <c r="AS45" s="79" t="s">
        <v>223</v>
      </c>
      <c r="AT45" s="79" t="s">
        <v>229</v>
      </c>
      <c r="AU45" s="79" t="s">
        <v>229</v>
      </c>
      <c r="AV45" s="79" t="s">
        <v>229</v>
      </c>
      <c r="AW45" s="79" t="s">
        <v>229</v>
      </c>
      <c r="AX45" s="79" t="s">
        <v>229</v>
      </c>
      <c r="AY45" s="79" t="s">
        <v>229</v>
      </c>
      <c r="AZ45" s="79" t="s">
        <v>229</v>
      </c>
      <c r="BA45" s="79" t="s">
        <v>229</v>
      </c>
      <c r="BB45" s="79" t="s">
        <v>229</v>
      </c>
      <c r="BC45" s="79" t="s">
        <v>235</v>
      </c>
      <c r="BD45" s="79" t="s">
        <v>235</v>
      </c>
      <c r="BE45" s="79" t="s">
        <v>235</v>
      </c>
      <c r="BF45" s="79" t="s">
        <v>235</v>
      </c>
      <c r="BG45" s="79" t="s">
        <v>235</v>
      </c>
      <c r="BH45" s="79" t="s">
        <v>235</v>
      </c>
      <c r="BI45" s="79" t="s">
        <v>235</v>
      </c>
      <c r="BJ45" s="79" t="s">
        <v>235</v>
      </c>
      <c r="BK45" s="79" t="s">
        <v>237</v>
      </c>
      <c r="BL45" s="79" t="s">
        <v>237</v>
      </c>
      <c r="BM45" s="79" t="s">
        <v>237</v>
      </c>
      <c r="BN45" s="79" t="s">
        <v>237</v>
      </c>
      <c r="BO45" s="79" t="s">
        <v>237</v>
      </c>
      <c r="BP45" s="79" t="s">
        <v>237</v>
      </c>
      <c r="BQ45" s="79" t="s">
        <v>237</v>
      </c>
      <c r="BR45" s="79" t="s">
        <v>237</v>
      </c>
      <c r="BS45" s="79" t="s">
        <v>237</v>
      </c>
      <c r="BT45" s="79" t="s">
        <v>239</v>
      </c>
    </row>
    <row r="46" spans="2:72" x14ac:dyDescent="0.3">
      <c r="B46" s="79">
        <f t="shared" si="2"/>
        <v>126</v>
      </c>
      <c r="C46" s="79" t="s">
        <v>203</v>
      </c>
      <c r="D46" s="79" t="s">
        <v>203</v>
      </c>
      <c r="E46" s="79" t="s">
        <v>202</v>
      </c>
      <c r="F46" s="79" t="s">
        <v>202</v>
      </c>
      <c r="G46" s="79" t="s">
        <v>202</v>
      </c>
      <c r="H46" s="79" t="s">
        <v>202</v>
      </c>
      <c r="I46" s="79" t="s">
        <v>202</v>
      </c>
      <c r="J46" s="79" t="s">
        <v>202</v>
      </c>
      <c r="K46" s="79" t="s">
        <v>202</v>
      </c>
      <c r="L46" s="79" t="s">
        <v>202</v>
      </c>
      <c r="M46" s="79" t="s">
        <v>202</v>
      </c>
      <c r="N46" s="79" t="s">
        <v>211</v>
      </c>
      <c r="O46" s="79" t="s">
        <v>211</v>
      </c>
      <c r="P46" s="79" t="s">
        <v>211</v>
      </c>
      <c r="Q46" s="79" t="s">
        <v>211</v>
      </c>
      <c r="R46" s="79" t="s">
        <v>211</v>
      </c>
      <c r="S46" s="79" t="s">
        <v>211</v>
      </c>
      <c r="T46" s="79" t="s">
        <v>211</v>
      </c>
      <c r="U46" s="79" t="s">
        <v>211</v>
      </c>
      <c r="V46" s="79" t="s">
        <v>213</v>
      </c>
      <c r="W46" s="79" t="s">
        <v>213</v>
      </c>
      <c r="X46" s="79" t="s">
        <v>213</v>
      </c>
      <c r="Y46" s="79" t="s">
        <v>213</v>
      </c>
      <c r="Z46" s="79" t="s">
        <v>213</v>
      </c>
      <c r="AA46" s="79" t="s">
        <v>213</v>
      </c>
      <c r="AB46" s="79" t="s">
        <v>213</v>
      </c>
      <c r="AC46" s="79" t="s">
        <v>213</v>
      </c>
      <c r="AD46" s="79" t="s">
        <v>213</v>
      </c>
      <c r="AE46" s="79" t="s">
        <v>218</v>
      </c>
      <c r="AF46" s="79" t="s">
        <v>218</v>
      </c>
      <c r="AG46" s="79" t="s">
        <v>218</v>
      </c>
      <c r="AH46" s="79" t="s">
        <v>218</v>
      </c>
      <c r="AI46" s="79" t="s">
        <v>218</v>
      </c>
      <c r="AJ46" s="79" t="s">
        <v>218</v>
      </c>
      <c r="AK46" s="79" t="s">
        <v>218</v>
      </c>
      <c r="AL46" s="79" t="s">
        <v>218</v>
      </c>
      <c r="AM46" s="79" t="s">
        <v>223</v>
      </c>
      <c r="AN46" s="79" t="s">
        <v>223</v>
      </c>
      <c r="AO46" s="79" t="s">
        <v>223</v>
      </c>
      <c r="AP46" s="79" t="s">
        <v>223</v>
      </c>
      <c r="AQ46" s="79" t="s">
        <v>223</v>
      </c>
      <c r="AR46" s="79" t="s">
        <v>223</v>
      </c>
      <c r="AS46" s="79" t="s">
        <v>223</v>
      </c>
      <c r="AT46" s="79" t="s">
        <v>223</v>
      </c>
      <c r="AU46" s="79" t="s">
        <v>223</v>
      </c>
      <c r="AV46" s="79" t="s">
        <v>229</v>
      </c>
      <c r="AW46" s="79" t="s">
        <v>229</v>
      </c>
      <c r="AX46" s="79" t="s">
        <v>229</v>
      </c>
      <c r="AY46" s="79" t="s">
        <v>229</v>
      </c>
      <c r="AZ46" s="79" t="s">
        <v>229</v>
      </c>
      <c r="BA46" s="79" t="s">
        <v>229</v>
      </c>
      <c r="BB46" s="79" t="s">
        <v>229</v>
      </c>
      <c r="BC46" s="79" t="s">
        <v>229</v>
      </c>
      <c r="BD46" s="79" t="s">
        <v>229</v>
      </c>
      <c r="BE46" s="79" t="s">
        <v>235</v>
      </c>
      <c r="BF46" s="79" t="s">
        <v>235</v>
      </c>
      <c r="BG46" s="79" t="s">
        <v>235</v>
      </c>
      <c r="BH46" s="79" t="s">
        <v>235</v>
      </c>
      <c r="BI46" s="79" t="s">
        <v>235</v>
      </c>
      <c r="BJ46" s="79" t="s">
        <v>235</v>
      </c>
      <c r="BK46" s="79" t="s">
        <v>235</v>
      </c>
      <c r="BL46" s="79" t="s">
        <v>235</v>
      </c>
      <c r="BM46" s="79" t="s">
        <v>237</v>
      </c>
      <c r="BN46" s="79" t="s">
        <v>237</v>
      </c>
      <c r="BO46" s="79" t="s">
        <v>237</v>
      </c>
      <c r="BP46" s="79" t="s">
        <v>237</v>
      </c>
      <c r="BQ46" s="79" t="s">
        <v>237</v>
      </c>
      <c r="BR46" s="79" t="s">
        <v>237</v>
      </c>
      <c r="BS46" s="79" t="s">
        <v>237</v>
      </c>
      <c r="BT46" s="79" t="s">
        <v>237</v>
      </c>
    </row>
    <row r="47" spans="2:72" x14ac:dyDescent="0.3">
      <c r="B47" s="79">
        <f t="shared" si="2"/>
        <v>128</v>
      </c>
      <c r="C47" s="79" t="s">
        <v>203</v>
      </c>
      <c r="D47" s="79" t="s">
        <v>203</v>
      </c>
      <c r="E47" s="79" t="s">
        <v>203</v>
      </c>
      <c r="F47" s="79" t="s">
        <v>202</v>
      </c>
      <c r="G47" s="79" t="s">
        <v>202</v>
      </c>
      <c r="H47" s="79" t="s">
        <v>202</v>
      </c>
      <c r="I47" s="79" t="s">
        <v>202</v>
      </c>
      <c r="J47" s="79" t="s">
        <v>202</v>
      </c>
      <c r="K47" s="79" t="s">
        <v>202</v>
      </c>
      <c r="L47" s="79" t="s">
        <v>202</v>
      </c>
      <c r="M47" s="79" t="s">
        <v>202</v>
      </c>
      <c r="N47" s="79" t="s">
        <v>202</v>
      </c>
      <c r="O47" s="79" t="s">
        <v>211</v>
      </c>
      <c r="P47" s="79" t="s">
        <v>211</v>
      </c>
      <c r="Q47" s="79" t="s">
        <v>211</v>
      </c>
      <c r="R47" s="79" t="s">
        <v>211</v>
      </c>
      <c r="S47" s="79" t="s">
        <v>211</v>
      </c>
      <c r="T47" s="79" t="s">
        <v>211</v>
      </c>
      <c r="U47" s="79" t="s">
        <v>211</v>
      </c>
      <c r="V47" s="79" t="s">
        <v>211</v>
      </c>
      <c r="W47" s="79" t="s">
        <v>211</v>
      </c>
      <c r="X47" s="79" t="s">
        <v>213</v>
      </c>
      <c r="Y47" s="79" t="s">
        <v>213</v>
      </c>
      <c r="Z47" s="79" t="s">
        <v>213</v>
      </c>
      <c r="AA47" s="79" t="s">
        <v>213</v>
      </c>
      <c r="AB47" s="79" t="s">
        <v>213</v>
      </c>
      <c r="AC47" s="79" t="s">
        <v>213</v>
      </c>
      <c r="AD47" s="79" t="s">
        <v>213</v>
      </c>
      <c r="AE47" s="79" t="s">
        <v>213</v>
      </c>
      <c r="AF47" s="79" t="s">
        <v>213</v>
      </c>
      <c r="AG47" s="79" t="s">
        <v>218</v>
      </c>
      <c r="AH47" s="79" t="s">
        <v>218</v>
      </c>
      <c r="AI47" s="79" t="s">
        <v>218</v>
      </c>
      <c r="AJ47" s="79" t="s">
        <v>218</v>
      </c>
      <c r="AK47" s="79" t="s">
        <v>218</v>
      </c>
      <c r="AL47" s="79" t="s">
        <v>218</v>
      </c>
      <c r="AM47" s="79" t="s">
        <v>218</v>
      </c>
      <c r="AN47" s="79" t="s">
        <v>218</v>
      </c>
      <c r="AO47" s="79" t="s">
        <v>223</v>
      </c>
      <c r="AP47" s="79" t="s">
        <v>223</v>
      </c>
      <c r="AQ47" s="79" t="s">
        <v>223</v>
      </c>
      <c r="AR47" s="79" t="s">
        <v>223</v>
      </c>
      <c r="AS47" s="79" t="s">
        <v>223</v>
      </c>
      <c r="AT47" s="79" t="s">
        <v>223</v>
      </c>
      <c r="AU47" s="79" t="s">
        <v>223</v>
      </c>
      <c r="AV47" s="79" t="s">
        <v>223</v>
      </c>
      <c r="AW47" s="79" t="s">
        <v>223</v>
      </c>
      <c r="AX47" s="79" t="s">
        <v>229</v>
      </c>
      <c r="AY47" s="79" t="s">
        <v>229</v>
      </c>
      <c r="AZ47" s="79" t="s">
        <v>229</v>
      </c>
      <c r="BA47" s="79" t="s">
        <v>229</v>
      </c>
      <c r="BB47" s="79" t="s">
        <v>229</v>
      </c>
      <c r="BC47" s="79" t="s">
        <v>229</v>
      </c>
      <c r="BD47" s="79" t="s">
        <v>229</v>
      </c>
      <c r="BE47" s="79" t="s">
        <v>229</v>
      </c>
      <c r="BF47" s="79" t="s">
        <v>229</v>
      </c>
      <c r="BG47" s="79" t="s">
        <v>235</v>
      </c>
      <c r="BH47" s="79" t="s">
        <v>235</v>
      </c>
      <c r="BI47" s="79" t="s">
        <v>235</v>
      </c>
      <c r="BJ47" s="79" t="s">
        <v>235</v>
      </c>
      <c r="BK47" s="79" t="s">
        <v>235</v>
      </c>
      <c r="BL47" s="79" t="s">
        <v>235</v>
      </c>
      <c r="BM47" s="79" t="s">
        <v>235</v>
      </c>
      <c r="BN47" s="79" t="s">
        <v>235</v>
      </c>
      <c r="BO47" s="79" t="s">
        <v>235</v>
      </c>
      <c r="BP47" s="79" t="s">
        <v>237</v>
      </c>
      <c r="BQ47" s="79" t="s">
        <v>237</v>
      </c>
      <c r="BR47" s="79" t="s">
        <v>237</v>
      </c>
      <c r="BS47" s="79" t="s">
        <v>237</v>
      </c>
      <c r="BT47" s="79" t="s">
        <v>237</v>
      </c>
    </row>
    <row r="48" spans="2:72" x14ac:dyDescent="0.3">
      <c r="B48" s="79">
        <f t="shared" si="2"/>
        <v>130</v>
      </c>
      <c r="C48" s="79" t="s">
        <v>203</v>
      </c>
      <c r="D48" s="79" t="s">
        <v>203</v>
      </c>
      <c r="E48" s="79" t="s">
        <v>203</v>
      </c>
      <c r="F48" s="79" t="s">
        <v>203</v>
      </c>
      <c r="G48" s="79" t="s">
        <v>203</v>
      </c>
      <c r="H48" s="79" t="s">
        <v>202</v>
      </c>
      <c r="I48" s="79" t="s">
        <v>202</v>
      </c>
      <c r="J48" s="79" t="s">
        <v>202</v>
      </c>
      <c r="K48" s="79" t="s">
        <v>202</v>
      </c>
      <c r="L48" s="79" t="s">
        <v>202</v>
      </c>
      <c r="M48" s="79" t="s">
        <v>202</v>
      </c>
      <c r="N48" s="79" t="s">
        <v>202</v>
      </c>
      <c r="O48" s="79" t="s">
        <v>202</v>
      </c>
      <c r="P48" s="79" t="s">
        <v>211</v>
      </c>
      <c r="Q48" s="79" t="s">
        <v>211</v>
      </c>
      <c r="R48" s="79" t="s">
        <v>211</v>
      </c>
      <c r="S48" s="79" t="s">
        <v>211</v>
      </c>
      <c r="T48" s="79" t="s">
        <v>211</v>
      </c>
      <c r="U48" s="79" t="s">
        <v>211</v>
      </c>
      <c r="V48" s="79" t="s">
        <v>211</v>
      </c>
      <c r="W48" s="79" t="s">
        <v>211</v>
      </c>
      <c r="X48" s="79" t="s">
        <v>211</v>
      </c>
      <c r="Y48" s="79" t="s">
        <v>213</v>
      </c>
      <c r="Z48" s="79" t="s">
        <v>213</v>
      </c>
      <c r="AA48" s="79" t="s">
        <v>213</v>
      </c>
      <c r="AB48" s="79" t="s">
        <v>213</v>
      </c>
      <c r="AC48" s="79" t="s">
        <v>213</v>
      </c>
      <c r="AD48" s="79" t="s">
        <v>213</v>
      </c>
      <c r="AE48" s="79" t="s">
        <v>213</v>
      </c>
      <c r="AF48" s="79" t="s">
        <v>213</v>
      </c>
      <c r="AG48" s="79" t="s">
        <v>213</v>
      </c>
      <c r="AH48" s="79" t="s">
        <v>218</v>
      </c>
      <c r="AI48" s="79" t="s">
        <v>218</v>
      </c>
      <c r="AJ48" s="79" t="s">
        <v>218</v>
      </c>
      <c r="AK48" s="79" t="s">
        <v>218</v>
      </c>
      <c r="AL48" s="79" t="s">
        <v>218</v>
      </c>
      <c r="AM48" s="79" t="s">
        <v>218</v>
      </c>
      <c r="AN48" s="79" t="s">
        <v>218</v>
      </c>
      <c r="AO48" s="79" t="s">
        <v>218</v>
      </c>
      <c r="AP48" s="79" t="s">
        <v>218</v>
      </c>
      <c r="AQ48" s="79" t="s">
        <v>223</v>
      </c>
      <c r="AR48" s="79" t="s">
        <v>223</v>
      </c>
      <c r="AS48" s="79" t="s">
        <v>223</v>
      </c>
      <c r="AT48" s="79" t="s">
        <v>223</v>
      </c>
      <c r="AU48" s="79" t="s">
        <v>223</v>
      </c>
      <c r="AV48" s="79" t="s">
        <v>223</v>
      </c>
      <c r="AW48" s="79" t="s">
        <v>223</v>
      </c>
      <c r="AX48" s="79" t="s">
        <v>223</v>
      </c>
      <c r="AY48" s="79" t="s">
        <v>223</v>
      </c>
      <c r="AZ48" s="79" t="s">
        <v>229</v>
      </c>
      <c r="BA48" s="79" t="s">
        <v>229</v>
      </c>
      <c r="BB48" s="79" t="s">
        <v>229</v>
      </c>
      <c r="BC48" s="79" t="s">
        <v>229</v>
      </c>
      <c r="BD48" s="79" t="s">
        <v>229</v>
      </c>
      <c r="BE48" s="79" t="s">
        <v>229</v>
      </c>
      <c r="BF48" s="79" t="s">
        <v>229</v>
      </c>
      <c r="BG48" s="79" t="s">
        <v>229</v>
      </c>
      <c r="BH48" s="79" t="s">
        <v>229</v>
      </c>
      <c r="BI48" s="79" t="s">
        <v>235</v>
      </c>
      <c r="BJ48" s="79" t="s">
        <v>235</v>
      </c>
      <c r="BK48" s="79" t="s">
        <v>235</v>
      </c>
      <c r="BL48" s="79" t="s">
        <v>235</v>
      </c>
      <c r="BM48" s="79" t="s">
        <v>235</v>
      </c>
      <c r="BN48" s="79" t="s">
        <v>235</v>
      </c>
      <c r="BO48" s="79" t="s">
        <v>235</v>
      </c>
      <c r="BP48" s="79" t="s">
        <v>235</v>
      </c>
      <c r="BQ48" s="79" t="s">
        <v>235</v>
      </c>
      <c r="BR48" s="79" t="s">
        <v>237</v>
      </c>
      <c r="BS48" s="79" t="s">
        <v>237</v>
      </c>
      <c r="BT48" s="79" t="s">
        <v>237</v>
      </c>
    </row>
    <row r="49" spans="2:72" x14ac:dyDescent="0.3">
      <c r="B49" s="79">
        <f t="shared" si="2"/>
        <v>132</v>
      </c>
      <c r="C49" s="79" t="s">
        <v>203</v>
      </c>
      <c r="D49" s="79" t="s">
        <v>203</v>
      </c>
      <c r="E49" s="79" t="s">
        <v>203</v>
      </c>
      <c r="F49" s="79" t="s">
        <v>203</v>
      </c>
      <c r="G49" s="79" t="s">
        <v>203</v>
      </c>
      <c r="H49" s="79" t="s">
        <v>203</v>
      </c>
      <c r="I49" s="79" t="s">
        <v>202</v>
      </c>
      <c r="J49" s="79" t="s">
        <v>202</v>
      </c>
      <c r="K49" s="79" t="s">
        <v>202</v>
      </c>
      <c r="L49" s="79" t="s">
        <v>202</v>
      </c>
      <c r="M49" s="79" t="s">
        <v>202</v>
      </c>
      <c r="N49" s="79" t="s">
        <v>202</v>
      </c>
      <c r="O49" s="79" t="s">
        <v>202</v>
      </c>
      <c r="P49" s="79" t="s">
        <v>202</v>
      </c>
      <c r="Q49" s="79" t="s">
        <v>202</v>
      </c>
      <c r="R49" s="79" t="s">
        <v>211</v>
      </c>
      <c r="S49" s="79" t="s">
        <v>211</v>
      </c>
      <c r="T49" s="79" t="s">
        <v>211</v>
      </c>
      <c r="U49" s="79" t="s">
        <v>211</v>
      </c>
      <c r="V49" s="79" t="s">
        <v>211</v>
      </c>
      <c r="W49" s="79" t="s">
        <v>211</v>
      </c>
      <c r="X49" s="79" t="s">
        <v>211</v>
      </c>
      <c r="Y49" s="79" t="s">
        <v>211</v>
      </c>
      <c r="Z49" s="79" t="s">
        <v>211</v>
      </c>
      <c r="AA49" s="79" t="s">
        <v>213</v>
      </c>
      <c r="AB49" s="79" t="s">
        <v>213</v>
      </c>
      <c r="AC49" s="79" t="s">
        <v>213</v>
      </c>
      <c r="AD49" s="79" t="s">
        <v>213</v>
      </c>
      <c r="AE49" s="79" t="s">
        <v>213</v>
      </c>
      <c r="AF49" s="79" t="s">
        <v>213</v>
      </c>
      <c r="AG49" s="79" t="s">
        <v>213</v>
      </c>
      <c r="AH49" s="79" t="s">
        <v>213</v>
      </c>
      <c r="AI49" s="79" t="s">
        <v>213</v>
      </c>
      <c r="AJ49" s="79" t="s">
        <v>218</v>
      </c>
      <c r="AK49" s="79" t="s">
        <v>218</v>
      </c>
      <c r="AL49" s="79" t="s">
        <v>218</v>
      </c>
      <c r="AM49" s="79" t="s">
        <v>218</v>
      </c>
      <c r="AN49" s="79" t="s">
        <v>218</v>
      </c>
      <c r="AO49" s="79" t="s">
        <v>218</v>
      </c>
      <c r="AP49" s="79" t="s">
        <v>218</v>
      </c>
      <c r="AQ49" s="79" t="s">
        <v>218</v>
      </c>
      <c r="AR49" s="79" t="s">
        <v>218</v>
      </c>
      <c r="AS49" s="79" t="s">
        <v>223</v>
      </c>
      <c r="AT49" s="79" t="s">
        <v>223</v>
      </c>
      <c r="AU49" s="79" t="s">
        <v>223</v>
      </c>
      <c r="AV49" s="79" t="s">
        <v>223</v>
      </c>
      <c r="AW49" s="79" t="s">
        <v>223</v>
      </c>
      <c r="AX49" s="79" t="s">
        <v>223</v>
      </c>
      <c r="AY49" s="79" t="s">
        <v>223</v>
      </c>
      <c r="AZ49" s="79" t="s">
        <v>223</v>
      </c>
      <c r="BA49" s="79" t="s">
        <v>223</v>
      </c>
      <c r="BB49" s="79" t="s">
        <v>229</v>
      </c>
      <c r="BC49" s="79" t="s">
        <v>229</v>
      </c>
      <c r="BD49" s="79" t="s">
        <v>229</v>
      </c>
      <c r="BE49" s="79" t="s">
        <v>229</v>
      </c>
      <c r="BF49" s="79" t="s">
        <v>229</v>
      </c>
      <c r="BG49" s="79" t="s">
        <v>229</v>
      </c>
      <c r="BH49" s="79" t="s">
        <v>229</v>
      </c>
      <c r="BI49" s="79" t="s">
        <v>229</v>
      </c>
      <c r="BJ49" s="79" t="s">
        <v>229</v>
      </c>
      <c r="BK49" s="79" t="s">
        <v>235</v>
      </c>
      <c r="BL49" s="79" t="s">
        <v>235</v>
      </c>
      <c r="BM49" s="79" t="s">
        <v>235</v>
      </c>
      <c r="BN49" s="79" t="s">
        <v>235</v>
      </c>
      <c r="BO49" s="79" t="s">
        <v>235</v>
      </c>
      <c r="BP49" s="79" t="s">
        <v>235</v>
      </c>
      <c r="BQ49" s="79" t="s">
        <v>235</v>
      </c>
      <c r="BR49" s="79" t="s">
        <v>235</v>
      </c>
      <c r="BS49" s="79" t="s">
        <v>235</v>
      </c>
      <c r="BT49" s="79" t="s">
        <v>237</v>
      </c>
    </row>
    <row r="50" spans="2:72" x14ac:dyDescent="0.3">
      <c r="B50" s="79">
        <f t="shared" si="2"/>
        <v>134</v>
      </c>
      <c r="C50" s="79" t="s">
        <v>203</v>
      </c>
      <c r="D50" s="79" t="s">
        <v>203</v>
      </c>
      <c r="E50" s="79" t="s">
        <v>203</v>
      </c>
      <c r="F50" s="79" t="s">
        <v>203</v>
      </c>
      <c r="G50" s="79" t="s">
        <v>203</v>
      </c>
      <c r="H50" s="79" t="s">
        <v>203</v>
      </c>
      <c r="I50" s="79" t="s">
        <v>203</v>
      </c>
      <c r="J50" s="79" t="s">
        <v>202</v>
      </c>
      <c r="K50" s="79" t="s">
        <v>202</v>
      </c>
      <c r="L50" s="79" t="s">
        <v>202</v>
      </c>
      <c r="M50" s="79" t="s">
        <v>202</v>
      </c>
      <c r="N50" s="79" t="s">
        <v>202</v>
      </c>
      <c r="O50" s="79" t="s">
        <v>202</v>
      </c>
      <c r="P50" s="79" t="s">
        <v>202</v>
      </c>
      <c r="Q50" s="79" t="s">
        <v>202</v>
      </c>
      <c r="R50" s="79" t="s">
        <v>202</v>
      </c>
      <c r="S50" s="79" t="s">
        <v>211</v>
      </c>
      <c r="T50" s="79" t="s">
        <v>211</v>
      </c>
      <c r="U50" s="79" t="s">
        <v>211</v>
      </c>
      <c r="V50" s="79" t="s">
        <v>211</v>
      </c>
      <c r="W50" s="79" t="s">
        <v>211</v>
      </c>
      <c r="X50" s="79" t="s">
        <v>211</v>
      </c>
      <c r="Y50" s="79" t="s">
        <v>211</v>
      </c>
      <c r="Z50" s="79" t="s">
        <v>211</v>
      </c>
      <c r="AA50" s="79" t="s">
        <v>211</v>
      </c>
      <c r="AB50" s="79" t="s">
        <v>213</v>
      </c>
      <c r="AC50" s="79" t="s">
        <v>213</v>
      </c>
      <c r="AD50" s="79" t="s">
        <v>213</v>
      </c>
      <c r="AE50" s="79" t="s">
        <v>213</v>
      </c>
      <c r="AF50" s="79" t="s">
        <v>213</v>
      </c>
      <c r="AG50" s="79" t="s">
        <v>213</v>
      </c>
      <c r="AH50" s="79" t="s">
        <v>213</v>
      </c>
      <c r="AI50" s="79" t="s">
        <v>213</v>
      </c>
      <c r="AJ50" s="79" t="s">
        <v>213</v>
      </c>
      <c r="AK50" s="79" t="s">
        <v>213</v>
      </c>
      <c r="AL50" s="79" t="s">
        <v>218</v>
      </c>
      <c r="AM50" s="79" t="s">
        <v>218</v>
      </c>
      <c r="AN50" s="79" t="s">
        <v>218</v>
      </c>
      <c r="AO50" s="79" t="s">
        <v>218</v>
      </c>
      <c r="AP50" s="79" t="s">
        <v>218</v>
      </c>
      <c r="AQ50" s="79" t="s">
        <v>218</v>
      </c>
      <c r="AR50" s="79" t="s">
        <v>218</v>
      </c>
      <c r="AS50" s="79" t="s">
        <v>218</v>
      </c>
      <c r="AT50" s="79" t="s">
        <v>218</v>
      </c>
      <c r="AU50" s="79" t="s">
        <v>223</v>
      </c>
      <c r="AV50" s="79" t="s">
        <v>223</v>
      </c>
      <c r="AW50" s="79" t="s">
        <v>223</v>
      </c>
      <c r="AX50" s="79" t="s">
        <v>223</v>
      </c>
      <c r="AY50" s="79" t="s">
        <v>223</v>
      </c>
      <c r="AZ50" s="79" t="s">
        <v>223</v>
      </c>
      <c r="BA50" s="79" t="s">
        <v>223</v>
      </c>
      <c r="BB50" s="79" t="s">
        <v>223</v>
      </c>
      <c r="BC50" s="79" t="s">
        <v>223</v>
      </c>
      <c r="BD50" s="79" t="s">
        <v>229</v>
      </c>
      <c r="BE50" s="79" t="s">
        <v>229</v>
      </c>
      <c r="BF50" s="79" t="s">
        <v>229</v>
      </c>
      <c r="BG50" s="79" t="s">
        <v>229</v>
      </c>
      <c r="BH50" s="79" t="s">
        <v>229</v>
      </c>
      <c r="BI50" s="79" t="s">
        <v>229</v>
      </c>
      <c r="BJ50" s="79" t="s">
        <v>229</v>
      </c>
      <c r="BK50" s="79" t="s">
        <v>229</v>
      </c>
      <c r="BL50" s="79" t="s">
        <v>229</v>
      </c>
      <c r="BM50" s="79" t="s">
        <v>235</v>
      </c>
      <c r="BN50" s="79" t="s">
        <v>235</v>
      </c>
      <c r="BO50" s="79" t="s">
        <v>235</v>
      </c>
      <c r="BP50" s="79" t="s">
        <v>235</v>
      </c>
      <c r="BQ50" s="79" t="s">
        <v>235</v>
      </c>
      <c r="BR50" s="79" t="s">
        <v>235</v>
      </c>
      <c r="BS50" s="79" t="s">
        <v>235</v>
      </c>
      <c r="BT50" s="79" t="s">
        <v>235</v>
      </c>
    </row>
    <row r="51" spans="2:72" x14ac:dyDescent="0.3">
      <c r="B51" s="79">
        <f t="shared" si="2"/>
        <v>136</v>
      </c>
      <c r="C51" s="79" t="s">
        <v>203</v>
      </c>
      <c r="D51" s="79" t="s">
        <v>203</v>
      </c>
      <c r="E51" s="79" t="s">
        <v>203</v>
      </c>
      <c r="F51" s="79" t="s">
        <v>203</v>
      </c>
      <c r="G51" s="79" t="s">
        <v>203</v>
      </c>
      <c r="H51" s="79" t="s">
        <v>203</v>
      </c>
      <c r="I51" s="79" t="s">
        <v>203</v>
      </c>
      <c r="J51" s="79" t="s">
        <v>203</v>
      </c>
      <c r="K51" s="79" t="s">
        <v>202</v>
      </c>
      <c r="L51" s="79" t="s">
        <v>202</v>
      </c>
      <c r="M51" s="79" t="s">
        <v>202</v>
      </c>
      <c r="N51" s="79" t="s">
        <v>202</v>
      </c>
      <c r="O51" s="79" t="s">
        <v>202</v>
      </c>
      <c r="P51" s="79" t="s">
        <v>202</v>
      </c>
      <c r="Q51" s="79" t="s">
        <v>202</v>
      </c>
      <c r="R51" s="79" t="s">
        <v>202</v>
      </c>
      <c r="S51" s="79" t="s">
        <v>202</v>
      </c>
      <c r="T51" s="79" t="s">
        <v>202</v>
      </c>
      <c r="U51" s="79" t="s">
        <v>211</v>
      </c>
      <c r="V51" s="79" t="s">
        <v>211</v>
      </c>
      <c r="W51" s="79" t="s">
        <v>211</v>
      </c>
      <c r="X51" s="79" t="s">
        <v>211</v>
      </c>
      <c r="Y51" s="79" t="s">
        <v>211</v>
      </c>
      <c r="Z51" s="79" t="s">
        <v>211</v>
      </c>
      <c r="AA51" s="79" t="s">
        <v>211</v>
      </c>
      <c r="AB51" s="79" t="s">
        <v>211</v>
      </c>
      <c r="AC51" s="79" t="s">
        <v>211</v>
      </c>
      <c r="AD51" s="79" t="s">
        <v>213</v>
      </c>
      <c r="AE51" s="79" t="s">
        <v>213</v>
      </c>
      <c r="AF51" s="79" t="s">
        <v>213</v>
      </c>
      <c r="AG51" s="79" t="s">
        <v>213</v>
      </c>
      <c r="AH51" s="79" t="s">
        <v>213</v>
      </c>
      <c r="AI51" s="79" t="s">
        <v>213</v>
      </c>
      <c r="AJ51" s="79" t="s">
        <v>213</v>
      </c>
      <c r="AK51" s="79" t="s">
        <v>213</v>
      </c>
      <c r="AL51" s="79" t="s">
        <v>213</v>
      </c>
      <c r="AM51" s="79" t="s">
        <v>218</v>
      </c>
      <c r="AN51" s="79" t="s">
        <v>218</v>
      </c>
      <c r="AO51" s="79" t="s">
        <v>218</v>
      </c>
      <c r="AP51" s="79" t="s">
        <v>218</v>
      </c>
      <c r="AQ51" s="79" t="s">
        <v>218</v>
      </c>
      <c r="AR51" s="79" t="s">
        <v>218</v>
      </c>
      <c r="AS51" s="79" t="s">
        <v>218</v>
      </c>
      <c r="AT51" s="79" t="s">
        <v>218</v>
      </c>
      <c r="AU51" s="79" t="s">
        <v>218</v>
      </c>
      <c r="AV51" s="79" t="s">
        <v>218</v>
      </c>
      <c r="AW51" s="79" t="s">
        <v>223</v>
      </c>
      <c r="AX51" s="79" t="s">
        <v>223</v>
      </c>
      <c r="AY51" s="79" t="s">
        <v>223</v>
      </c>
      <c r="AZ51" s="79" t="s">
        <v>223</v>
      </c>
      <c r="BA51" s="79" t="s">
        <v>223</v>
      </c>
      <c r="BB51" s="79" t="s">
        <v>223</v>
      </c>
      <c r="BC51" s="79" t="s">
        <v>223</v>
      </c>
      <c r="BD51" s="79" t="s">
        <v>223</v>
      </c>
      <c r="BE51" s="79" t="s">
        <v>223</v>
      </c>
      <c r="BF51" s="79" t="s">
        <v>229</v>
      </c>
      <c r="BG51" s="79" t="s">
        <v>229</v>
      </c>
      <c r="BH51" s="79" t="s">
        <v>229</v>
      </c>
      <c r="BI51" s="79" t="s">
        <v>229</v>
      </c>
      <c r="BJ51" s="79" t="s">
        <v>229</v>
      </c>
      <c r="BK51" s="79" t="s">
        <v>229</v>
      </c>
      <c r="BL51" s="79" t="s">
        <v>229</v>
      </c>
      <c r="BM51" s="79" t="s">
        <v>229</v>
      </c>
      <c r="BN51" s="79" t="s">
        <v>229</v>
      </c>
      <c r="BO51" s="79" t="s">
        <v>235</v>
      </c>
      <c r="BP51" s="79" t="s">
        <v>235</v>
      </c>
      <c r="BQ51" s="79" t="s">
        <v>235</v>
      </c>
      <c r="BR51" s="79" t="s">
        <v>235</v>
      </c>
      <c r="BS51" s="79" t="s">
        <v>235</v>
      </c>
      <c r="BT51" s="79" t="s">
        <v>235</v>
      </c>
    </row>
    <row r="52" spans="2:72" x14ac:dyDescent="0.3">
      <c r="B52" s="79">
        <f t="shared" si="2"/>
        <v>138</v>
      </c>
      <c r="C52" s="79" t="s">
        <v>203</v>
      </c>
      <c r="D52" s="79" t="s">
        <v>203</v>
      </c>
      <c r="E52" s="79" t="s">
        <v>203</v>
      </c>
      <c r="F52" s="79" t="s">
        <v>203</v>
      </c>
      <c r="G52" s="79" t="s">
        <v>203</v>
      </c>
      <c r="H52" s="79" t="s">
        <v>203</v>
      </c>
      <c r="I52" s="79" t="s">
        <v>203</v>
      </c>
      <c r="J52" s="79" t="s">
        <v>203</v>
      </c>
      <c r="K52" s="79" t="s">
        <v>203</v>
      </c>
      <c r="L52" s="79" t="s">
        <v>203</v>
      </c>
      <c r="M52" s="79" t="s">
        <v>202</v>
      </c>
      <c r="N52" s="79" t="s">
        <v>202</v>
      </c>
      <c r="O52" s="79" t="s">
        <v>202</v>
      </c>
      <c r="P52" s="79" t="s">
        <v>202</v>
      </c>
      <c r="Q52" s="79" t="s">
        <v>202</v>
      </c>
      <c r="R52" s="79" t="s">
        <v>202</v>
      </c>
      <c r="S52" s="79" t="s">
        <v>202</v>
      </c>
      <c r="T52" s="79" t="s">
        <v>202</v>
      </c>
      <c r="U52" s="79" t="s">
        <v>202</v>
      </c>
      <c r="V52" s="79" t="s">
        <v>211</v>
      </c>
      <c r="W52" s="79" t="s">
        <v>211</v>
      </c>
      <c r="X52" s="79" t="s">
        <v>211</v>
      </c>
      <c r="Y52" s="79" t="s">
        <v>211</v>
      </c>
      <c r="Z52" s="79" t="s">
        <v>211</v>
      </c>
      <c r="AA52" s="79" t="s">
        <v>211</v>
      </c>
      <c r="AB52" s="79" t="s">
        <v>211</v>
      </c>
      <c r="AC52" s="79" t="s">
        <v>211</v>
      </c>
      <c r="AD52" s="79" t="s">
        <v>211</v>
      </c>
      <c r="AE52" s="79" t="s">
        <v>211</v>
      </c>
      <c r="AF52" s="79" t="s">
        <v>213</v>
      </c>
      <c r="AG52" s="79" t="s">
        <v>213</v>
      </c>
      <c r="AH52" s="79" t="s">
        <v>213</v>
      </c>
      <c r="AI52" s="79" t="s">
        <v>213</v>
      </c>
      <c r="AJ52" s="79" t="s">
        <v>213</v>
      </c>
      <c r="AK52" s="79" t="s">
        <v>213</v>
      </c>
      <c r="AL52" s="79" t="s">
        <v>213</v>
      </c>
      <c r="AM52" s="79" t="s">
        <v>213</v>
      </c>
      <c r="AN52" s="79" t="s">
        <v>213</v>
      </c>
      <c r="AO52" s="79" t="s">
        <v>218</v>
      </c>
      <c r="AP52" s="79" t="s">
        <v>218</v>
      </c>
      <c r="AQ52" s="79" t="s">
        <v>218</v>
      </c>
      <c r="AR52" s="79" t="s">
        <v>218</v>
      </c>
      <c r="AS52" s="79" t="s">
        <v>218</v>
      </c>
      <c r="AT52" s="79" t="s">
        <v>218</v>
      </c>
      <c r="AU52" s="79" t="s">
        <v>218</v>
      </c>
      <c r="AV52" s="79" t="s">
        <v>218</v>
      </c>
      <c r="AW52" s="79" t="s">
        <v>218</v>
      </c>
      <c r="AX52" s="79" t="s">
        <v>223</v>
      </c>
      <c r="AY52" s="79" t="s">
        <v>223</v>
      </c>
      <c r="AZ52" s="79" t="s">
        <v>223</v>
      </c>
      <c r="BA52" s="79" t="s">
        <v>223</v>
      </c>
      <c r="BB52" s="79" t="s">
        <v>223</v>
      </c>
      <c r="BC52" s="79" t="s">
        <v>223</v>
      </c>
      <c r="BD52" s="79" t="s">
        <v>223</v>
      </c>
      <c r="BE52" s="79" t="s">
        <v>223</v>
      </c>
      <c r="BF52" s="79" t="s">
        <v>223</v>
      </c>
      <c r="BG52" s="79" t="s">
        <v>223</v>
      </c>
      <c r="BH52" s="79" t="s">
        <v>229</v>
      </c>
      <c r="BI52" s="79" t="s">
        <v>229</v>
      </c>
      <c r="BJ52" s="79" t="s">
        <v>229</v>
      </c>
      <c r="BK52" s="79" t="s">
        <v>229</v>
      </c>
      <c r="BL52" s="79" t="s">
        <v>229</v>
      </c>
      <c r="BM52" s="79" t="s">
        <v>229</v>
      </c>
      <c r="BN52" s="79" t="s">
        <v>229</v>
      </c>
      <c r="BO52" s="79" t="s">
        <v>229</v>
      </c>
      <c r="BP52" s="79" t="s">
        <v>229</v>
      </c>
      <c r="BQ52" s="79" t="s">
        <v>235</v>
      </c>
      <c r="BR52" s="79" t="s">
        <v>235</v>
      </c>
      <c r="BS52" s="79" t="s">
        <v>235</v>
      </c>
      <c r="BT52" s="79" t="s">
        <v>235</v>
      </c>
    </row>
    <row r="53" spans="2:72" x14ac:dyDescent="0.3">
      <c r="B53" s="79">
        <f t="shared" si="2"/>
        <v>140</v>
      </c>
      <c r="C53" s="79" t="s">
        <v>203</v>
      </c>
      <c r="D53" s="79" t="s">
        <v>203</v>
      </c>
      <c r="E53" s="79" t="s">
        <v>203</v>
      </c>
      <c r="F53" s="79" t="s">
        <v>203</v>
      </c>
      <c r="G53" s="79" t="s">
        <v>203</v>
      </c>
      <c r="H53" s="79" t="s">
        <v>203</v>
      </c>
      <c r="I53" s="79" t="s">
        <v>203</v>
      </c>
      <c r="J53" s="79" t="s">
        <v>203</v>
      </c>
      <c r="K53" s="79" t="s">
        <v>203</v>
      </c>
      <c r="L53" s="79" t="s">
        <v>203</v>
      </c>
      <c r="M53" s="79" t="s">
        <v>203</v>
      </c>
      <c r="N53" s="79" t="s">
        <v>202</v>
      </c>
      <c r="O53" s="79" t="s">
        <v>202</v>
      </c>
      <c r="P53" s="79" t="s">
        <v>202</v>
      </c>
      <c r="Q53" s="79" t="s">
        <v>202</v>
      </c>
      <c r="R53" s="79" t="s">
        <v>202</v>
      </c>
      <c r="S53" s="79" t="s">
        <v>202</v>
      </c>
      <c r="T53" s="79" t="s">
        <v>202</v>
      </c>
      <c r="U53" s="79" t="s">
        <v>202</v>
      </c>
      <c r="V53" s="79" t="s">
        <v>202</v>
      </c>
      <c r="W53" s="79" t="s">
        <v>202</v>
      </c>
      <c r="X53" s="79" t="s">
        <v>211</v>
      </c>
      <c r="Y53" s="79" t="s">
        <v>211</v>
      </c>
      <c r="Z53" s="79" t="s">
        <v>211</v>
      </c>
      <c r="AA53" s="79" t="s">
        <v>211</v>
      </c>
      <c r="AB53" s="79" t="s">
        <v>211</v>
      </c>
      <c r="AC53" s="79" t="s">
        <v>211</v>
      </c>
      <c r="AD53" s="79" t="s">
        <v>211</v>
      </c>
      <c r="AE53" s="79" t="s">
        <v>211</v>
      </c>
      <c r="AF53" s="79" t="s">
        <v>211</v>
      </c>
      <c r="AG53" s="79" t="s">
        <v>213</v>
      </c>
      <c r="AH53" s="79" t="s">
        <v>213</v>
      </c>
      <c r="AI53" s="79" t="s">
        <v>213</v>
      </c>
      <c r="AJ53" s="79" t="s">
        <v>213</v>
      </c>
      <c r="AK53" s="79" t="s">
        <v>213</v>
      </c>
      <c r="AL53" s="79" t="s">
        <v>213</v>
      </c>
      <c r="AM53" s="79" t="s">
        <v>213</v>
      </c>
      <c r="AN53" s="79" t="s">
        <v>213</v>
      </c>
      <c r="AO53" s="79" t="s">
        <v>213</v>
      </c>
      <c r="AP53" s="79" t="s">
        <v>213</v>
      </c>
      <c r="AQ53" s="79" t="s">
        <v>218</v>
      </c>
      <c r="AR53" s="79" t="s">
        <v>218</v>
      </c>
      <c r="AS53" s="79" t="s">
        <v>218</v>
      </c>
      <c r="AT53" s="79" t="s">
        <v>218</v>
      </c>
      <c r="AU53" s="79" t="s">
        <v>218</v>
      </c>
      <c r="AV53" s="79" t="s">
        <v>218</v>
      </c>
      <c r="AW53" s="79" t="s">
        <v>218</v>
      </c>
      <c r="AX53" s="79" t="s">
        <v>218</v>
      </c>
      <c r="AY53" s="79" t="s">
        <v>218</v>
      </c>
      <c r="AZ53" s="79" t="s">
        <v>223</v>
      </c>
      <c r="BA53" s="79" t="s">
        <v>223</v>
      </c>
      <c r="BB53" s="79" t="s">
        <v>223</v>
      </c>
      <c r="BC53" s="79" t="s">
        <v>223</v>
      </c>
      <c r="BD53" s="79" t="s">
        <v>223</v>
      </c>
      <c r="BE53" s="79" t="s">
        <v>223</v>
      </c>
      <c r="BF53" s="79" t="s">
        <v>223</v>
      </c>
      <c r="BG53" s="79" t="s">
        <v>223</v>
      </c>
      <c r="BH53" s="79" t="s">
        <v>223</v>
      </c>
      <c r="BI53" s="79" t="s">
        <v>223</v>
      </c>
      <c r="BJ53" s="79" t="s">
        <v>229</v>
      </c>
      <c r="BK53" s="79" t="s">
        <v>229</v>
      </c>
      <c r="BL53" s="79" t="s">
        <v>229</v>
      </c>
      <c r="BM53" s="79" t="s">
        <v>229</v>
      </c>
      <c r="BN53" s="79" t="s">
        <v>229</v>
      </c>
      <c r="BO53" s="79" t="s">
        <v>229</v>
      </c>
      <c r="BP53" s="79" t="s">
        <v>229</v>
      </c>
      <c r="BQ53" s="79" t="s">
        <v>229</v>
      </c>
      <c r="BR53" s="79" t="s">
        <v>229</v>
      </c>
      <c r="BS53" s="79" t="s">
        <v>235</v>
      </c>
      <c r="BT53" s="79" t="s">
        <v>235</v>
      </c>
    </row>
    <row r="54" spans="2:72" x14ac:dyDescent="0.3">
      <c r="B54" s="79">
        <f t="shared" si="2"/>
        <v>142</v>
      </c>
      <c r="C54" s="79" t="s">
        <v>203</v>
      </c>
      <c r="D54" s="79" t="s">
        <v>203</v>
      </c>
      <c r="E54" s="79" t="s">
        <v>203</v>
      </c>
      <c r="F54" s="79" t="s">
        <v>203</v>
      </c>
      <c r="G54" s="79" t="s">
        <v>203</v>
      </c>
      <c r="H54" s="79" t="s">
        <v>203</v>
      </c>
      <c r="I54" s="79" t="s">
        <v>203</v>
      </c>
      <c r="J54" s="79" t="s">
        <v>203</v>
      </c>
      <c r="K54" s="79" t="s">
        <v>203</v>
      </c>
      <c r="L54" s="79" t="s">
        <v>203</v>
      </c>
      <c r="M54" s="79" t="s">
        <v>203</v>
      </c>
      <c r="N54" s="79" t="s">
        <v>203</v>
      </c>
      <c r="O54" s="79" t="s">
        <v>202</v>
      </c>
      <c r="P54" s="79" t="s">
        <v>202</v>
      </c>
      <c r="Q54" s="79" t="s">
        <v>202</v>
      </c>
      <c r="R54" s="79" t="s">
        <v>202</v>
      </c>
      <c r="S54" s="79" t="s">
        <v>202</v>
      </c>
      <c r="T54" s="79" t="s">
        <v>202</v>
      </c>
      <c r="U54" s="79" t="s">
        <v>202</v>
      </c>
      <c r="V54" s="79" t="s">
        <v>202</v>
      </c>
      <c r="W54" s="79" t="s">
        <v>202</v>
      </c>
      <c r="X54" s="79" t="s">
        <v>202</v>
      </c>
      <c r="Y54" s="79" t="s">
        <v>211</v>
      </c>
      <c r="Z54" s="79" t="s">
        <v>211</v>
      </c>
      <c r="AA54" s="79" t="s">
        <v>211</v>
      </c>
      <c r="AB54" s="79" t="s">
        <v>211</v>
      </c>
      <c r="AC54" s="79" t="s">
        <v>211</v>
      </c>
      <c r="AD54" s="79" t="s">
        <v>211</v>
      </c>
      <c r="AE54" s="79" t="s">
        <v>211</v>
      </c>
      <c r="AF54" s="79" t="s">
        <v>211</v>
      </c>
      <c r="AG54" s="79" t="s">
        <v>211</v>
      </c>
      <c r="AH54" s="79" t="s">
        <v>213</v>
      </c>
      <c r="AI54" s="79" t="s">
        <v>213</v>
      </c>
      <c r="AJ54" s="79" t="s">
        <v>213</v>
      </c>
      <c r="AK54" s="79" t="s">
        <v>213</v>
      </c>
      <c r="AL54" s="79" t="s">
        <v>213</v>
      </c>
      <c r="AM54" s="79" t="s">
        <v>213</v>
      </c>
      <c r="AN54" s="79" t="s">
        <v>213</v>
      </c>
      <c r="AO54" s="79" t="s">
        <v>213</v>
      </c>
      <c r="AP54" s="79" t="s">
        <v>213</v>
      </c>
      <c r="AQ54" s="79" t="s">
        <v>213</v>
      </c>
      <c r="AR54" s="79" t="s">
        <v>218</v>
      </c>
      <c r="AS54" s="79" t="s">
        <v>218</v>
      </c>
      <c r="AT54" s="79" t="s">
        <v>218</v>
      </c>
      <c r="AU54" s="79" t="s">
        <v>218</v>
      </c>
      <c r="AV54" s="79" t="s">
        <v>218</v>
      </c>
      <c r="AW54" s="79" t="s">
        <v>218</v>
      </c>
      <c r="AX54" s="79" t="s">
        <v>218</v>
      </c>
      <c r="AY54" s="79" t="s">
        <v>218</v>
      </c>
      <c r="AZ54" s="79" t="s">
        <v>218</v>
      </c>
      <c r="BA54" s="79" t="s">
        <v>218</v>
      </c>
      <c r="BB54" s="79" t="s">
        <v>223</v>
      </c>
      <c r="BC54" s="79" t="s">
        <v>223</v>
      </c>
      <c r="BD54" s="79" t="s">
        <v>223</v>
      </c>
      <c r="BE54" s="79" t="s">
        <v>223</v>
      </c>
      <c r="BF54" s="79" t="s">
        <v>223</v>
      </c>
      <c r="BG54" s="79" t="s">
        <v>223</v>
      </c>
      <c r="BH54" s="79" t="s">
        <v>223</v>
      </c>
      <c r="BI54" s="79" t="s">
        <v>223</v>
      </c>
      <c r="BJ54" s="79" t="s">
        <v>223</v>
      </c>
      <c r="BK54" s="79" t="s">
        <v>229</v>
      </c>
      <c r="BL54" s="79" t="s">
        <v>229</v>
      </c>
      <c r="BM54" s="79" t="s">
        <v>229</v>
      </c>
      <c r="BN54" s="79" t="s">
        <v>229</v>
      </c>
      <c r="BO54" s="79" t="s">
        <v>229</v>
      </c>
      <c r="BP54" s="79" t="s">
        <v>229</v>
      </c>
      <c r="BQ54" s="79" t="s">
        <v>229</v>
      </c>
      <c r="BR54" s="79" t="s">
        <v>229</v>
      </c>
      <c r="BS54" s="79" t="s">
        <v>229</v>
      </c>
      <c r="BT54" s="79" t="s">
        <v>229</v>
      </c>
    </row>
    <row r="55" spans="2:72" x14ac:dyDescent="0.3">
      <c r="B55" s="79">
        <f t="shared" si="2"/>
        <v>144</v>
      </c>
      <c r="C55" s="79" t="s">
        <v>204</v>
      </c>
      <c r="D55" s="79" t="s">
        <v>204</v>
      </c>
      <c r="E55" s="79" t="s">
        <v>203</v>
      </c>
      <c r="F55" s="79" t="s">
        <v>203</v>
      </c>
      <c r="G55" s="79" t="s">
        <v>203</v>
      </c>
      <c r="H55" s="79" t="s">
        <v>203</v>
      </c>
      <c r="I55" s="79" t="s">
        <v>203</v>
      </c>
      <c r="J55" s="79" t="s">
        <v>203</v>
      </c>
      <c r="K55" s="79" t="s">
        <v>203</v>
      </c>
      <c r="L55" s="79" t="s">
        <v>203</v>
      </c>
      <c r="M55" s="79" t="s">
        <v>203</v>
      </c>
      <c r="N55" s="79" t="s">
        <v>203</v>
      </c>
      <c r="O55" s="79" t="s">
        <v>202</v>
      </c>
      <c r="P55" s="79" t="s">
        <v>202</v>
      </c>
      <c r="Q55" s="79" t="s">
        <v>202</v>
      </c>
      <c r="R55" s="79" t="s">
        <v>202</v>
      </c>
      <c r="S55" s="79" t="s">
        <v>202</v>
      </c>
      <c r="T55" s="79" t="s">
        <v>202</v>
      </c>
      <c r="U55" s="79" t="s">
        <v>202</v>
      </c>
      <c r="V55" s="79" t="s">
        <v>202</v>
      </c>
      <c r="W55" s="79" t="s">
        <v>202</v>
      </c>
      <c r="X55" s="79" t="s">
        <v>219</v>
      </c>
      <c r="Y55" s="79" t="s">
        <v>211</v>
      </c>
      <c r="Z55" s="79" t="s">
        <v>211</v>
      </c>
      <c r="AA55" s="79" t="s">
        <v>211</v>
      </c>
      <c r="AB55" s="79" t="s">
        <v>211</v>
      </c>
      <c r="AC55" s="79" t="s">
        <v>211</v>
      </c>
      <c r="AD55" s="79" t="s">
        <v>211</v>
      </c>
      <c r="AE55" s="79" t="s">
        <v>211</v>
      </c>
      <c r="AF55" s="79" t="s">
        <v>211</v>
      </c>
      <c r="AG55" s="79" t="s">
        <v>211</v>
      </c>
      <c r="AH55" s="79" t="s">
        <v>225</v>
      </c>
      <c r="AI55" s="79" t="s">
        <v>213</v>
      </c>
      <c r="AJ55" s="79" t="s">
        <v>213</v>
      </c>
      <c r="AK55" s="79" t="s">
        <v>213</v>
      </c>
      <c r="AL55" s="79" t="s">
        <v>213</v>
      </c>
      <c r="AM55" s="79" t="s">
        <v>213</v>
      </c>
      <c r="AN55" s="79" t="s">
        <v>213</v>
      </c>
      <c r="AO55" s="79" t="s">
        <v>213</v>
      </c>
      <c r="AP55" s="79" t="s">
        <v>213</v>
      </c>
      <c r="AQ55" s="79" t="s">
        <v>213</v>
      </c>
      <c r="AR55" s="79" t="s">
        <v>231</v>
      </c>
      <c r="AS55" s="79" t="s">
        <v>218</v>
      </c>
      <c r="AT55" s="79" t="s">
        <v>218</v>
      </c>
      <c r="AU55" s="79" t="s">
        <v>218</v>
      </c>
      <c r="AV55" s="79" t="s">
        <v>218</v>
      </c>
      <c r="AW55" s="79" t="s">
        <v>218</v>
      </c>
      <c r="AX55" s="79" t="s">
        <v>218</v>
      </c>
      <c r="AY55" s="79" t="s">
        <v>218</v>
      </c>
      <c r="AZ55" s="79" t="s">
        <v>218</v>
      </c>
      <c r="BA55" s="79" t="s">
        <v>236</v>
      </c>
      <c r="BB55" s="79" t="s">
        <v>236</v>
      </c>
      <c r="BC55" s="79" t="s">
        <v>223</v>
      </c>
      <c r="BD55" s="79" t="s">
        <v>223</v>
      </c>
      <c r="BE55" s="79" t="s">
        <v>223</v>
      </c>
      <c r="BF55" s="79" t="s">
        <v>223</v>
      </c>
      <c r="BG55" s="79" t="s">
        <v>223</v>
      </c>
      <c r="BH55" s="79" t="s">
        <v>223</v>
      </c>
      <c r="BI55" s="79" t="s">
        <v>223</v>
      </c>
      <c r="BJ55" s="79" t="s">
        <v>223</v>
      </c>
      <c r="BK55" s="79" t="s">
        <v>223</v>
      </c>
      <c r="BL55" s="79" t="s">
        <v>223</v>
      </c>
      <c r="BM55" s="79" t="s">
        <v>229</v>
      </c>
      <c r="BN55" s="79" t="s">
        <v>229</v>
      </c>
      <c r="BO55" s="79" t="s">
        <v>229</v>
      </c>
      <c r="BP55" s="79" t="s">
        <v>229</v>
      </c>
      <c r="BQ55" s="79" t="s">
        <v>229</v>
      </c>
      <c r="BR55" s="79" t="s">
        <v>229</v>
      </c>
      <c r="BS55" s="79" t="s">
        <v>229</v>
      </c>
      <c r="BT55" s="79" t="s">
        <v>229</v>
      </c>
    </row>
    <row r="56" spans="2:72" x14ac:dyDescent="0.3">
      <c r="B56" s="79">
        <f t="shared" si="2"/>
        <v>146</v>
      </c>
      <c r="C56" s="79" t="s">
        <v>205</v>
      </c>
      <c r="D56" s="79" t="s">
        <v>205</v>
      </c>
      <c r="E56" s="79" t="s">
        <v>204</v>
      </c>
      <c r="F56" s="79" t="s">
        <v>203</v>
      </c>
      <c r="G56" s="79" t="s">
        <v>203</v>
      </c>
      <c r="H56" s="79" t="s">
        <v>203</v>
      </c>
      <c r="I56" s="79" t="s">
        <v>203</v>
      </c>
      <c r="J56" s="79" t="s">
        <v>203</v>
      </c>
      <c r="K56" s="79" t="s">
        <v>203</v>
      </c>
      <c r="L56" s="79" t="s">
        <v>203</v>
      </c>
      <c r="M56" s="79" t="s">
        <v>203</v>
      </c>
      <c r="N56" s="79" t="s">
        <v>203</v>
      </c>
      <c r="O56" s="79" t="s">
        <v>204</v>
      </c>
      <c r="P56" s="79" t="s">
        <v>202</v>
      </c>
      <c r="Q56" s="79" t="s">
        <v>202</v>
      </c>
      <c r="R56" s="79" t="s">
        <v>202</v>
      </c>
      <c r="S56" s="79" t="s">
        <v>202</v>
      </c>
      <c r="T56" s="79" t="s">
        <v>202</v>
      </c>
      <c r="U56" s="79" t="s">
        <v>202</v>
      </c>
      <c r="V56" s="79" t="s">
        <v>202</v>
      </c>
      <c r="W56" s="79" t="s">
        <v>202</v>
      </c>
      <c r="X56" s="79" t="s">
        <v>219</v>
      </c>
      <c r="Y56" s="79" t="s">
        <v>219</v>
      </c>
      <c r="Z56" s="79" t="s">
        <v>211</v>
      </c>
      <c r="AA56" s="79" t="s">
        <v>211</v>
      </c>
      <c r="AB56" s="79" t="s">
        <v>211</v>
      </c>
      <c r="AC56" s="79" t="s">
        <v>211</v>
      </c>
      <c r="AD56" s="79" t="s">
        <v>211</v>
      </c>
      <c r="AE56" s="79" t="s">
        <v>211</v>
      </c>
      <c r="AF56" s="79" t="s">
        <v>211</v>
      </c>
      <c r="AG56" s="79" t="s">
        <v>211</v>
      </c>
      <c r="AH56" s="79" t="s">
        <v>225</v>
      </c>
      <c r="AI56" s="79" t="s">
        <v>225</v>
      </c>
      <c r="AJ56" s="79" t="s">
        <v>225</v>
      </c>
      <c r="AK56" s="79" t="s">
        <v>213</v>
      </c>
      <c r="AL56" s="79" t="s">
        <v>213</v>
      </c>
      <c r="AM56" s="79" t="s">
        <v>213</v>
      </c>
      <c r="AN56" s="79" t="s">
        <v>213</v>
      </c>
      <c r="AO56" s="79" t="s">
        <v>213</v>
      </c>
      <c r="AP56" s="79" t="s">
        <v>213</v>
      </c>
      <c r="AQ56" s="79" t="s">
        <v>213</v>
      </c>
      <c r="AR56" s="79" t="s">
        <v>231</v>
      </c>
      <c r="AS56" s="79" t="s">
        <v>231</v>
      </c>
      <c r="AT56" s="79" t="s">
        <v>231</v>
      </c>
      <c r="AU56" s="79" t="s">
        <v>218</v>
      </c>
      <c r="AV56" s="79" t="s">
        <v>218</v>
      </c>
      <c r="AW56" s="79" t="s">
        <v>218</v>
      </c>
      <c r="AX56" s="79" t="s">
        <v>218</v>
      </c>
      <c r="AY56" s="79" t="s">
        <v>218</v>
      </c>
      <c r="AZ56" s="79" t="s">
        <v>218</v>
      </c>
      <c r="BA56" s="79" t="s">
        <v>236</v>
      </c>
      <c r="BB56" s="79" t="s">
        <v>236</v>
      </c>
      <c r="BC56" s="79" t="s">
        <v>236</v>
      </c>
      <c r="BD56" s="79" t="s">
        <v>236</v>
      </c>
      <c r="BE56" s="79" t="s">
        <v>223</v>
      </c>
      <c r="BF56" s="79" t="s">
        <v>223</v>
      </c>
      <c r="BG56" s="79" t="s">
        <v>223</v>
      </c>
      <c r="BH56" s="79" t="s">
        <v>223</v>
      </c>
      <c r="BI56" s="79" t="s">
        <v>223</v>
      </c>
      <c r="BJ56" s="79" t="s">
        <v>223</v>
      </c>
      <c r="BK56" s="79" t="s">
        <v>240</v>
      </c>
      <c r="BL56" s="79" t="s">
        <v>240</v>
      </c>
      <c r="BM56" s="79" t="s">
        <v>223</v>
      </c>
      <c r="BN56" s="79" t="s">
        <v>223</v>
      </c>
      <c r="BO56" s="79" t="s">
        <v>229</v>
      </c>
      <c r="BP56" s="79" t="s">
        <v>229</v>
      </c>
      <c r="BQ56" s="79" t="s">
        <v>229</v>
      </c>
      <c r="BR56" s="79" t="s">
        <v>229</v>
      </c>
      <c r="BS56" s="79" t="s">
        <v>229</v>
      </c>
      <c r="BT56" s="79" t="s">
        <v>229</v>
      </c>
    </row>
    <row r="57" spans="2:72" x14ac:dyDescent="0.3">
      <c r="B57" s="79">
        <f t="shared" si="2"/>
        <v>148</v>
      </c>
      <c r="C57" s="79" t="s">
        <v>205</v>
      </c>
      <c r="D57" s="79" t="s">
        <v>205</v>
      </c>
      <c r="E57" s="79" t="s">
        <v>205</v>
      </c>
      <c r="F57" s="79" t="s">
        <v>204</v>
      </c>
      <c r="G57" s="79" t="s">
        <v>203</v>
      </c>
      <c r="H57" s="79" t="s">
        <v>203</v>
      </c>
      <c r="I57" s="79" t="s">
        <v>203</v>
      </c>
      <c r="J57" s="79" t="s">
        <v>203</v>
      </c>
      <c r="K57" s="79" t="s">
        <v>203</v>
      </c>
      <c r="L57" s="79" t="s">
        <v>203</v>
      </c>
      <c r="M57" s="79" t="s">
        <v>203</v>
      </c>
      <c r="N57" s="79" t="s">
        <v>204</v>
      </c>
      <c r="O57" s="79" t="s">
        <v>204</v>
      </c>
      <c r="P57" s="79" t="s">
        <v>204</v>
      </c>
      <c r="Q57" s="79" t="s">
        <v>204</v>
      </c>
      <c r="R57" s="79" t="s">
        <v>202</v>
      </c>
      <c r="S57" s="79" t="s">
        <v>202</v>
      </c>
      <c r="T57" s="79" t="s">
        <v>202</v>
      </c>
      <c r="U57" s="79" t="s">
        <v>202</v>
      </c>
      <c r="V57" s="79" t="s">
        <v>202</v>
      </c>
      <c r="W57" s="79" t="s">
        <v>202</v>
      </c>
      <c r="X57" s="79" t="s">
        <v>214</v>
      </c>
      <c r="Y57" s="79" t="s">
        <v>214</v>
      </c>
      <c r="Z57" s="79" t="s">
        <v>219</v>
      </c>
      <c r="AA57" s="79" t="s">
        <v>219</v>
      </c>
      <c r="AB57" s="79" t="s">
        <v>211</v>
      </c>
      <c r="AC57" s="79" t="s">
        <v>211</v>
      </c>
      <c r="AD57" s="79" t="s">
        <v>211</v>
      </c>
      <c r="AE57" s="79" t="s">
        <v>211</v>
      </c>
      <c r="AF57" s="79" t="s">
        <v>211</v>
      </c>
      <c r="AG57" s="79" t="s">
        <v>211</v>
      </c>
      <c r="AH57" s="79" t="s">
        <v>225</v>
      </c>
      <c r="AI57" s="79" t="s">
        <v>225</v>
      </c>
      <c r="AJ57" s="79" t="s">
        <v>225</v>
      </c>
      <c r="AK57" s="79" t="s">
        <v>225</v>
      </c>
      <c r="AL57" s="79" t="s">
        <v>213</v>
      </c>
      <c r="AM57" s="79" t="s">
        <v>213</v>
      </c>
      <c r="AN57" s="79" t="s">
        <v>213</v>
      </c>
      <c r="AO57" s="79" t="s">
        <v>213</v>
      </c>
      <c r="AP57" s="79" t="s">
        <v>213</v>
      </c>
      <c r="AQ57" s="79" t="s">
        <v>231</v>
      </c>
      <c r="AR57" s="79" t="s">
        <v>231</v>
      </c>
      <c r="AS57" s="79" t="s">
        <v>231</v>
      </c>
      <c r="AT57" s="79" t="s">
        <v>231</v>
      </c>
      <c r="AU57" s="79" t="s">
        <v>231</v>
      </c>
      <c r="AV57" s="79" t="s">
        <v>218</v>
      </c>
      <c r="AW57" s="79" t="s">
        <v>218</v>
      </c>
      <c r="AX57" s="79" t="s">
        <v>218</v>
      </c>
      <c r="AY57" s="79" t="s">
        <v>218</v>
      </c>
      <c r="AZ57" s="79" t="s">
        <v>218</v>
      </c>
      <c r="BA57" s="79" t="s">
        <v>236</v>
      </c>
      <c r="BB57" s="79" t="s">
        <v>236</v>
      </c>
      <c r="BC57" s="79" t="s">
        <v>236</v>
      </c>
      <c r="BD57" s="79" t="s">
        <v>236</v>
      </c>
      <c r="BE57" s="79" t="s">
        <v>236</v>
      </c>
      <c r="BF57" s="79" t="s">
        <v>236</v>
      </c>
      <c r="BG57" s="79" t="s">
        <v>223</v>
      </c>
      <c r="BH57" s="79" t="s">
        <v>223</v>
      </c>
      <c r="BI57" s="79" t="s">
        <v>223</v>
      </c>
      <c r="BJ57" s="79" t="s">
        <v>223</v>
      </c>
      <c r="BK57" s="79" t="s">
        <v>240</v>
      </c>
      <c r="BL57" s="79" t="s">
        <v>240</v>
      </c>
      <c r="BM57" s="79" t="s">
        <v>240</v>
      </c>
      <c r="BN57" s="79" t="s">
        <v>240</v>
      </c>
      <c r="BO57" s="79" t="s">
        <v>223</v>
      </c>
      <c r="BP57" s="79" t="s">
        <v>223</v>
      </c>
      <c r="BQ57" s="79" t="s">
        <v>229</v>
      </c>
      <c r="BR57" s="79" t="s">
        <v>229</v>
      </c>
      <c r="BS57" s="79" t="s">
        <v>229</v>
      </c>
      <c r="BT57" s="79" t="s">
        <v>229</v>
      </c>
    </row>
    <row r="58" spans="2:72" x14ac:dyDescent="0.3">
      <c r="B58" s="79">
        <f t="shared" si="2"/>
        <v>150</v>
      </c>
      <c r="C58" s="79" t="s">
        <v>205</v>
      </c>
      <c r="D58" s="79" t="s">
        <v>205</v>
      </c>
      <c r="E58" s="79" t="s">
        <v>205</v>
      </c>
      <c r="F58" s="79" t="s">
        <v>205</v>
      </c>
      <c r="G58" s="79" t="s">
        <v>204</v>
      </c>
      <c r="H58" s="79" t="s">
        <v>204</v>
      </c>
      <c r="I58" s="79" t="s">
        <v>203</v>
      </c>
      <c r="J58" s="79" t="s">
        <v>203</v>
      </c>
      <c r="K58" s="79" t="s">
        <v>203</v>
      </c>
      <c r="L58" s="79" t="s">
        <v>203</v>
      </c>
      <c r="M58" s="79" t="s">
        <v>203</v>
      </c>
      <c r="N58" s="79" t="s">
        <v>204</v>
      </c>
      <c r="O58" s="79" t="s">
        <v>204</v>
      </c>
      <c r="P58" s="79" t="s">
        <v>204</v>
      </c>
      <c r="Q58" s="79" t="s">
        <v>204</v>
      </c>
      <c r="R58" s="79" t="s">
        <v>204</v>
      </c>
      <c r="S58" s="79" t="s">
        <v>202</v>
      </c>
      <c r="T58" s="79" t="s">
        <v>202</v>
      </c>
      <c r="U58" s="79" t="s">
        <v>202</v>
      </c>
      <c r="V58" s="79" t="s">
        <v>202</v>
      </c>
      <c r="W58" s="79" t="s">
        <v>202</v>
      </c>
      <c r="X58" s="79" t="s">
        <v>214</v>
      </c>
      <c r="Y58" s="79" t="s">
        <v>214</v>
      </c>
      <c r="Z58" s="79" t="s">
        <v>214</v>
      </c>
      <c r="AA58" s="79" t="s">
        <v>219</v>
      </c>
      <c r="AB58" s="79" t="s">
        <v>219</v>
      </c>
      <c r="AC58" s="79" t="s">
        <v>219</v>
      </c>
      <c r="AD58" s="79" t="s">
        <v>211</v>
      </c>
      <c r="AE58" s="79" t="s">
        <v>211</v>
      </c>
      <c r="AF58" s="79" t="s">
        <v>211</v>
      </c>
      <c r="AG58" s="79" t="s">
        <v>219</v>
      </c>
      <c r="AH58" s="79" t="s">
        <v>219</v>
      </c>
      <c r="AI58" s="79" t="s">
        <v>219</v>
      </c>
      <c r="AJ58" s="79" t="s">
        <v>225</v>
      </c>
      <c r="AK58" s="79" t="s">
        <v>225</v>
      </c>
      <c r="AL58" s="79" t="s">
        <v>225</v>
      </c>
      <c r="AM58" s="79" t="s">
        <v>225</v>
      </c>
      <c r="AN58" s="79" t="s">
        <v>213</v>
      </c>
      <c r="AO58" s="79" t="s">
        <v>213</v>
      </c>
      <c r="AP58" s="79" t="s">
        <v>213</v>
      </c>
      <c r="AQ58" s="79" t="s">
        <v>225</v>
      </c>
      <c r="AR58" s="79" t="s">
        <v>231</v>
      </c>
      <c r="AS58" s="79" t="s">
        <v>231</v>
      </c>
      <c r="AT58" s="79" t="s">
        <v>231</v>
      </c>
      <c r="AU58" s="79" t="s">
        <v>231</v>
      </c>
      <c r="AV58" s="79" t="s">
        <v>231</v>
      </c>
      <c r="AW58" s="79" t="s">
        <v>231</v>
      </c>
      <c r="AX58" s="79" t="s">
        <v>218</v>
      </c>
      <c r="AY58" s="79" t="s">
        <v>218</v>
      </c>
      <c r="AZ58" s="79" t="s">
        <v>218</v>
      </c>
      <c r="BA58" s="79" t="s">
        <v>236</v>
      </c>
      <c r="BB58" s="79" t="s">
        <v>236</v>
      </c>
      <c r="BC58" s="79" t="s">
        <v>236</v>
      </c>
      <c r="BD58" s="79" t="s">
        <v>236</v>
      </c>
      <c r="BE58" s="79" t="s">
        <v>236</v>
      </c>
      <c r="BF58" s="79" t="s">
        <v>236</v>
      </c>
      <c r="BG58" s="79" t="s">
        <v>236</v>
      </c>
      <c r="BH58" s="79" t="s">
        <v>236</v>
      </c>
      <c r="BI58" s="79" t="s">
        <v>223</v>
      </c>
      <c r="BJ58" s="79" t="s">
        <v>223</v>
      </c>
      <c r="BK58" s="79" t="s">
        <v>240</v>
      </c>
      <c r="BL58" s="79" t="s">
        <v>240</v>
      </c>
      <c r="BM58" s="79" t="s">
        <v>240</v>
      </c>
      <c r="BN58" s="79" t="s">
        <v>240</v>
      </c>
      <c r="BO58" s="79" t="s">
        <v>240</v>
      </c>
      <c r="BP58" s="79" t="s">
        <v>240</v>
      </c>
      <c r="BQ58" s="79" t="s">
        <v>223</v>
      </c>
      <c r="BR58" s="79" t="s">
        <v>223</v>
      </c>
      <c r="BS58" s="79" t="s">
        <v>229</v>
      </c>
      <c r="BT58" s="79" t="s">
        <v>229</v>
      </c>
    </row>
    <row r="59" spans="2:72" x14ac:dyDescent="0.3">
      <c r="B59" s="79">
        <f t="shared" si="2"/>
        <v>152</v>
      </c>
      <c r="C59" s="79" t="s">
        <v>205</v>
      </c>
      <c r="D59" s="79" t="s">
        <v>205</v>
      </c>
      <c r="E59" s="79" t="s">
        <v>205</v>
      </c>
      <c r="F59" s="79" t="s">
        <v>205</v>
      </c>
      <c r="G59" s="79" t="s">
        <v>205</v>
      </c>
      <c r="H59" s="79" t="s">
        <v>204</v>
      </c>
      <c r="I59" s="79" t="s">
        <v>204</v>
      </c>
      <c r="J59" s="79" t="s">
        <v>203</v>
      </c>
      <c r="K59" s="79" t="s">
        <v>203</v>
      </c>
      <c r="L59" s="79" t="s">
        <v>203</v>
      </c>
      <c r="M59" s="79" t="s">
        <v>203</v>
      </c>
      <c r="N59" s="79" t="s">
        <v>204</v>
      </c>
      <c r="O59" s="79" t="s">
        <v>204</v>
      </c>
      <c r="P59" s="79" t="s">
        <v>204</v>
      </c>
      <c r="Q59" s="79" t="s">
        <v>204</v>
      </c>
      <c r="R59" s="79" t="s">
        <v>204</v>
      </c>
      <c r="S59" s="79" t="s">
        <v>204</v>
      </c>
      <c r="T59" s="79" t="s">
        <v>214</v>
      </c>
      <c r="U59" s="79" t="s">
        <v>202</v>
      </c>
      <c r="V59" s="79" t="s">
        <v>202</v>
      </c>
      <c r="W59" s="79" t="s">
        <v>202</v>
      </c>
      <c r="X59" s="79" t="s">
        <v>214</v>
      </c>
      <c r="Y59" s="79" t="s">
        <v>214</v>
      </c>
      <c r="Z59" s="79" t="s">
        <v>214</v>
      </c>
      <c r="AA59" s="79" t="s">
        <v>214</v>
      </c>
      <c r="AB59" s="79" t="s">
        <v>214</v>
      </c>
      <c r="AC59" s="79" t="s">
        <v>219</v>
      </c>
      <c r="AD59" s="79" t="s">
        <v>219</v>
      </c>
      <c r="AE59" s="79" t="s">
        <v>211</v>
      </c>
      <c r="AF59" s="79" t="s">
        <v>211</v>
      </c>
      <c r="AG59" s="79" t="s">
        <v>219</v>
      </c>
      <c r="AH59" s="79" t="s">
        <v>219</v>
      </c>
      <c r="AI59" s="79" t="s">
        <v>219</v>
      </c>
      <c r="AJ59" s="79" t="s">
        <v>219</v>
      </c>
      <c r="AK59" s="79" t="s">
        <v>225</v>
      </c>
      <c r="AL59" s="79" t="s">
        <v>225</v>
      </c>
      <c r="AM59" s="79" t="s">
        <v>225</v>
      </c>
      <c r="AN59" s="79" t="s">
        <v>225</v>
      </c>
      <c r="AO59" s="79" t="s">
        <v>225</v>
      </c>
      <c r="AP59" s="79" t="s">
        <v>213</v>
      </c>
      <c r="AQ59" s="79" t="s">
        <v>225</v>
      </c>
      <c r="AR59" s="79" t="s">
        <v>225</v>
      </c>
      <c r="AS59" s="79" t="s">
        <v>231</v>
      </c>
      <c r="AT59" s="79" t="s">
        <v>231</v>
      </c>
      <c r="AU59" s="79" t="s">
        <v>231</v>
      </c>
      <c r="AV59" s="79" t="s">
        <v>231</v>
      </c>
      <c r="AW59" s="79" t="s">
        <v>231</v>
      </c>
      <c r="AX59" s="79" t="s">
        <v>231</v>
      </c>
      <c r="AY59" s="79" t="s">
        <v>231</v>
      </c>
      <c r="AZ59" s="79" t="s">
        <v>218</v>
      </c>
      <c r="BA59" s="79" t="s">
        <v>231</v>
      </c>
      <c r="BB59" s="79" t="s">
        <v>236</v>
      </c>
      <c r="BC59" s="79" t="s">
        <v>236</v>
      </c>
      <c r="BD59" s="79" t="s">
        <v>236</v>
      </c>
      <c r="BE59" s="79" t="s">
        <v>236</v>
      </c>
      <c r="BF59" s="79" t="s">
        <v>236</v>
      </c>
      <c r="BG59" s="79" t="s">
        <v>236</v>
      </c>
      <c r="BH59" s="79" t="s">
        <v>236</v>
      </c>
      <c r="BI59" s="79" t="s">
        <v>236</v>
      </c>
      <c r="BJ59" s="79" t="s">
        <v>240</v>
      </c>
      <c r="BK59" s="79" t="s">
        <v>240</v>
      </c>
      <c r="BL59" s="79" t="s">
        <v>240</v>
      </c>
      <c r="BM59" s="79" t="s">
        <v>240</v>
      </c>
      <c r="BN59" s="79" t="s">
        <v>240</v>
      </c>
      <c r="BO59" s="79" t="s">
        <v>240</v>
      </c>
      <c r="BP59" s="79" t="s">
        <v>240</v>
      </c>
      <c r="BQ59" s="79" t="s">
        <v>240</v>
      </c>
      <c r="BR59" s="79" t="s">
        <v>240</v>
      </c>
      <c r="BS59" s="79" t="s">
        <v>223</v>
      </c>
      <c r="BT59" s="79" t="s">
        <v>223</v>
      </c>
    </row>
    <row r="60" spans="2:72" x14ac:dyDescent="0.3">
      <c r="B60" s="79">
        <f t="shared" si="2"/>
        <v>154</v>
      </c>
      <c r="C60" s="79" t="s">
        <v>205</v>
      </c>
      <c r="D60" s="79" t="s">
        <v>205</v>
      </c>
      <c r="E60" s="79" t="s">
        <v>205</v>
      </c>
      <c r="F60" s="79" t="s">
        <v>205</v>
      </c>
      <c r="G60" s="79" t="s">
        <v>205</v>
      </c>
      <c r="H60" s="79" t="s">
        <v>205</v>
      </c>
      <c r="I60" s="79" t="s">
        <v>205</v>
      </c>
      <c r="J60" s="79" t="s">
        <v>204</v>
      </c>
      <c r="K60" s="79" t="s">
        <v>203</v>
      </c>
      <c r="L60" s="79" t="s">
        <v>203</v>
      </c>
      <c r="M60" s="79" t="s">
        <v>203</v>
      </c>
      <c r="N60" s="79" t="s">
        <v>204</v>
      </c>
      <c r="O60" s="79" t="s">
        <v>204</v>
      </c>
      <c r="P60" s="79" t="s">
        <v>204</v>
      </c>
      <c r="Q60" s="79" t="s">
        <v>204</v>
      </c>
      <c r="R60" s="79" t="s">
        <v>204</v>
      </c>
      <c r="S60" s="79" t="s">
        <v>204</v>
      </c>
      <c r="T60" s="79" t="s">
        <v>204</v>
      </c>
      <c r="U60" s="79" t="s">
        <v>214</v>
      </c>
      <c r="V60" s="79" t="s">
        <v>202</v>
      </c>
      <c r="W60" s="79" t="s">
        <v>214</v>
      </c>
      <c r="X60" s="79" t="s">
        <v>214</v>
      </c>
      <c r="Y60" s="79" t="s">
        <v>214</v>
      </c>
      <c r="Z60" s="79" t="s">
        <v>214</v>
      </c>
      <c r="AA60" s="79" t="s">
        <v>214</v>
      </c>
      <c r="AB60" s="79" t="s">
        <v>214</v>
      </c>
      <c r="AC60" s="79" t="s">
        <v>214</v>
      </c>
      <c r="AD60" s="79" t="s">
        <v>219</v>
      </c>
      <c r="AE60" s="79" t="s">
        <v>219</v>
      </c>
      <c r="AF60" s="79" t="s">
        <v>219</v>
      </c>
      <c r="AG60" s="79" t="s">
        <v>219</v>
      </c>
      <c r="AH60" s="79" t="s">
        <v>219</v>
      </c>
      <c r="AI60" s="79" t="s">
        <v>219</v>
      </c>
      <c r="AJ60" s="79" t="s">
        <v>219</v>
      </c>
      <c r="AK60" s="79" t="s">
        <v>219</v>
      </c>
      <c r="AL60" s="79" t="s">
        <v>225</v>
      </c>
      <c r="AM60" s="79" t="s">
        <v>225</v>
      </c>
      <c r="AN60" s="79" t="s">
        <v>225</v>
      </c>
      <c r="AO60" s="79" t="s">
        <v>225</v>
      </c>
      <c r="AP60" s="79" t="s">
        <v>225</v>
      </c>
      <c r="AQ60" s="79" t="s">
        <v>225</v>
      </c>
      <c r="AR60" s="79" t="s">
        <v>225</v>
      </c>
      <c r="AS60" s="79" t="s">
        <v>225</v>
      </c>
      <c r="AT60" s="79" t="s">
        <v>225</v>
      </c>
      <c r="AU60" s="79" t="s">
        <v>231</v>
      </c>
      <c r="AV60" s="79" t="s">
        <v>231</v>
      </c>
      <c r="AW60" s="79" t="s">
        <v>231</v>
      </c>
      <c r="AX60" s="79" t="s">
        <v>231</v>
      </c>
      <c r="AY60" s="79" t="s">
        <v>231</v>
      </c>
      <c r="AZ60" s="79" t="s">
        <v>231</v>
      </c>
      <c r="BA60" s="79" t="s">
        <v>231</v>
      </c>
      <c r="BB60" s="79" t="s">
        <v>231</v>
      </c>
      <c r="BC60" s="79" t="s">
        <v>231</v>
      </c>
      <c r="BD60" s="79" t="s">
        <v>236</v>
      </c>
      <c r="BE60" s="79" t="s">
        <v>236</v>
      </c>
      <c r="BF60" s="79" t="s">
        <v>236</v>
      </c>
      <c r="BG60" s="79" t="s">
        <v>236</v>
      </c>
      <c r="BH60" s="79" t="s">
        <v>236</v>
      </c>
      <c r="BI60" s="79" t="s">
        <v>236</v>
      </c>
      <c r="BJ60" s="79" t="s">
        <v>236</v>
      </c>
      <c r="BK60" s="79" t="s">
        <v>236</v>
      </c>
      <c r="BL60" s="79" t="s">
        <v>240</v>
      </c>
      <c r="BM60" s="79" t="s">
        <v>240</v>
      </c>
      <c r="BN60" s="79" t="s">
        <v>240</v>
      </c>
      <c r="BO60" s="79" t="s">
        <v>240</v>
      </c>
      <c r="BP60" s="79" t="s">
        <v>240</v>
      </c>
      <c r="BQ60" s="79" t="s">
        <v>240</v>
      </c>
      <c r="BR60" s="79" t="s">
        <v>240</v>
      </c>
      <c r="BS60" s="79" t="s">
        <v>240</v>
      </c>
      <c r="BT60" s="79" t="s">
        <v>240</v>
      </c>
    </row>
    <row r="61" spans="2:72" x14ac:dyDescent="0.3">
      <c r="B61" s="79">
        <f t="shared" si="2"/>
        <v>156</v>
      </c>
      <c r="C61" s="79" t="s">
        <v>205</v>
      </c>
      <c r="D61" s="79" t="s">
        <v>205</v>
      </c>
      <c r="E61" s="79" t="s">
        <v>205</v>
      </c>
      <c r="F61" s="79" t="s">
        <v>205</v>
      </c>
      <c r="G61" s="79" t="s">
        <v>205</v>
      </c>
      <c r="H61" s="79" t="s">
        <v>205</v>
      </c>
      <c r="I61" s="79" t="s">
        <v>205</v>
      </c>
      <c r="J61" s="79" t="s">
        <v>205</v>
      </c>
      <c r="K61" s="79" t="s">
        <v>204</v>
      </c>
      <c r="L61" s="79" t="s">
        <v>204</v>
      </c>
      <c r="M61" s="79" t="s">
        <v>204</v>
      </c>
      <c r="N61" s="79" t="s">
        <v>204</v>
      </c>
      <c r="O61" s="79" t="s">
        <v>204</v>
      </c>
      <c r="P61" s="79" t="s">
        <v>204</v>
      </c>
      <c r="Q61" s="79" t="s">
        <v>204</v>
      </c>
      <c r="R61" s="79" t="s">
        <v>204</v>
      </c>
      <c r="S61" s="79" t="s">
        <v>204</v>
      </c>
      <c r="T61" s="79" t="s">
        <v>204</v>
      </c>
      <c r="U61" s="79" t="s">
        <v>204</v>
      </c>
      <c r="V61" s="79" t="s">
        <v>204</v>
      </c>
      <c r="W61" s="79" t="s">
        <v>214</v>
      </c>
      <c r="X61" s="79" t="s">
        <v>214</v>
      </c>
      <c r="Y61" s="79" t="s">
        <v>214</v>
      </c>
      <c r="Z61" s="79" t="s">
        <v>214</v>
      </c>
      <c r="AA61" s="79" t="s">
        <v>214</v>
      </c>
      <c r="AB61" s="79" t="s">
        <v>214</v>
      </c>
      <c r="AC61" s="79" t="s">
        <v>214</v>
      </c>
      <c r="AD61" s="79" t="s">
        <v>214</v>
      </c>
      <c r="AE61" s="79" t="s">
        <v>219</v>
      </c>
      <c r="AF61" s="79" t="s">
        <v>219</v>
      </c>
      <c r="AG61" s="79" t="s">
        <v>219</v>
      </c>
      <c r="AH61" s="79" t="s">
        <v>219</v>
      </c>
      <c r="AI61" s="79" t="s">
        <v>219</v>
      </c>
      <c r="AJ61" s="79" t="s">
        <v>219</v>
      </c>
      <c r="AK61" s="79" t="s">
        <v>219</v>
      </c>
      <c r="AL61" s="79" t="s">
        <v>219</v>
      </c>
      <c r="AM61" s="79" t="s">
        <v>219</v>
      </c>
      <c r="AN61" s="79" t="s">
        <v>225</v>
      </c>
      <c r="AO61" s="79" t="s">
        <v>225</v>
      </c>
      <c r="AP61" s="79" t="s">
        <v>225</v>
      </c>
      <c r="AQ61" s="79" t="s">
        <v>225</v>
      </c>
      <c r="AR61" s="79" t="s">
        <v>225</v>
      </c>
      <c r="AS61" s="79" t="s">
        <v>225</v>
      </c>
      <c r="AT61" s="79" t="s">
        <v>225</v>
      </c>
      <c r="AU61" s="79" t="s">
        <v>225</v>
      </c>
      <c r="AV61" s="79" t="s">
        <v>225</v>
      </c>
      <c r="AW61" s="79" t="s">
        <v>231</v>
      </c>
      <c r="AX61" s="79" t="s">
        <v>231</v>
      </c>
      <c r="AY61" s="79" t="s">
        <v>231</v>
      </c>
      <c r="AZ61" s="79" t="s">
        <v>231</v>
      </c>
      <c r="BA61" s="79" t="s">
        <v>231</v>
      </c>
      <c r="BB61" s="79" t="s">
        <v>231</v>
      </c>
      <c r="BC61" s="79" t="s">
        <v>231</v>
      </c>
      <c r="BD61" s="79" t="s">
        <v>231</v>
      </c>
      <c r="BE61" s="79" t="s">
        <v>236</v>
      </c>
      <c r="BF61" s="79" t="s">
        <v>236</v>
      </c>
      <c r="BG61" s="79" t="s">
        <v>236</v>
      </c>
      <c r="BH61" s="79" t="s">
        <v>236</v>
      </c>
      <c r="BI61" s="79" t="s">
        <v>236</v>
      </c>
      <c r="BJ61" s="79" t="s">
        <v>236</v>
      </c>
      <c r="BK61" s="79" t="s">
        <v>236</v>
      </c>
      <c r="BL61" s="79" t="s">
        <v>236</v>
      </c>
      <c r="BM61" s="79" t="s">
        <v>236</v>
      </c>
      <c r="BN61" s="79" t="s">
        <v>240</v>
      </c>
      <c r="BO61" s="79" t="s">
        <v>240</v>
      </c>
      <c r="BP61" s="79" t="s">
        <v>240</v>
      </c>
      <c r="BQ61" s="79" t="s">
        <v>240</v>
      </c>
      <c r="BR61" s="79" t="s">
        <v>240</v>
      </c>
      <c r="BS61" s="79" t="s">
        <v>240</v>
      </c>
      <c r="BT61" s="79" t="s">
        <v>240</v>
      </c>
    </row>
    <row r="62" spans="2:72" x14ac:dyDescent="0.3">
      <c r="B62" s="79">
        <f t="shared" si="2"/>
        <v>158</v>
      </c>
      <c r="C62" s="79" t="s">
        <v>205</v>
      </c>
      <c r="D62" s="79" t="s">
        <v>205</v>
      </c>
      <c r="E62" s="79" t="s">
        <v>205</v>
      </c>
      <c r="F62" s="79" t="s">
        <v>205</v>
      </c>
      <c r="G62" s="79" t="s">
        <v>205</v>
      </c>
      <c r="H62" s="79" t="s">
        <v>205</v>
      </c>
      <c r="I62" s="79" t="s">
        <v>205</v>
      </c>
      <c r="J62" s="79" t="s">
        <v>205</v>
      </c>
      <c r="K62" s="79" t="s">
        <v>205</v>
      </c>
      <c r="L62" s="79" t="s">
        <v>204</v>
      </c>
      <c r="M62" s="79" t="s">
        <v>204</v>
      </c>
      <c r="N62" s="79" t="s">
        <v>204</v>
      </c>
      <c r="O62" s="79" t="s">
        <v>204</v>
      </c>
      <c r="P62" s="79" t="s">
        <v>204</v>
      </c>
      <c r="Q62" s="79" t="s">
        <v>204</v>
      </c>
      <c r="R62" s="79" t="s">
        <v>204</v>
      </c>
      <c r="S62" s="79" t="s">
        <v>204</v>
      </c>
      <c r="T62" s="79" t="s">
        <v>204</v>
      </c>
      <c r="U62" s="79" t="s">
        <v>204</v>
      </c>
      <c r="V62" s="79" t="s">
        <v>204</v>
      </c>
      <c r="W62" s="79" t="s">
        <v>204</v>
      </c>
      <c r="X62" s="79" t="s">
        <v>214</v>
      </c>
      <c r="Y62" s="79" t="s">
        <v>214</v>
      </c>
      <c r="Z62" s="79" t="s">
        <v>214</v>
      </c>
      <c r="AA62" s="79" t="s">
        <v>214</v>
      </c>
      <c r="AB62" s="79" t="s">
        <v>214</v>
      </c>
      <c r="AC62" s="79" t="s">
        <v>214</v>
      </c>
      <c r="AD62" s="79" t="s">
        <v>214</v>
      </c>
      <c r="AE62" s="79" t="s">
        <v>214</v>
      </c>
      <c r="AF62" s="79" t="s">
        <v>214</v>
      </c>
      <c r="AG62" s="79" t="s">
        <v>219</v>
      </c>
      <c r="AH62" s="79" t="s">
        <v>219</v>
      </c>
      <c r="AI62" s="79" t="s">
        <v>219</v>
      </c>
      <c r="AJ62" s="79" t="s">
        <v>219</v>
      </c>
      <c r="AK62" s="79" t="s">
        <v>219</v>
      </c>
      <c r="AL62" s="79" t="s">
        <v>219</v>
      </c>
      <c r="AM62" s="79" t="s">
        <v>219</v>
      </c>
      <c r="AN62" s="79" t="s">
        <v>219</v>
      </c>
      <c r="AO62" s="79" t="s">
        <v>225</v>
      </c>
      <c r="AP62" s="79" t="s">
        <v>225</v>
      </c>
      <c r="AQ62" s="79" t="s">
        <v>225</v>
      </c>
      <c r="AR62" s="79" t="s">
        <v>225</v>
      </c>
      <c r="AS62" s="79" t="s">
        <v>225</v>
      </c>
      <c r="AT62" s="79" t="s">
        <v>225</v>
      </c>
      <c r="AU62" s="79" t="s">
        <v>225</v>
      </c>
      <c r="AV62" s="79" t="s">
        <v>225</v>
      </c>
      <c r="AW62" s="79" t="s">
        <v>225</v>
      </c>
      <c r="AX62" s="79" t="s">
        <v>231</v>
      </c>
      <c r="AY62" s="79" t="s">
        <v>231</v>
      </c>
      <c r="AZ62" s="79" t="s">
        <v>231</v>
      </c>
      <c r="BA62" s="79" t="s">
        <v>231</v>
      </c>
      <c r="BB62" s="79" t="s">
        <v>231</v>
      </c>
      <c r="BC62" s="79" t="s">
        <v>231</v>
      </c>
      <c r="BD62" s="79" t="s">
        <v>231</v>
      </c>
      <c r="BE62" s="79" t="s">
        <v>231</v>
      </c>
      <c r="BF62" s="79" t="s">
        <v>231</v>
      </c>
      <c r="BG62" s="79" t="s">
        <v>236</v>
      </c>
      <c r="BH62" s="79" t="s">
        <v>236</v>
      </c>
      <c r="BI62" s="79" t="s">
        <v>236</v>
      </c>
      <c r="BJ62" s="79" t="s">
        <v>236</v>
      </c>
      <c r="BK62" s="79" t="s">
        <v>236</v>
      </c>
      <c r="BL62" s="79" t="s">
        <v>236</v>
      </c>
      <c r="BM62" s="79" t="s">
        <v>236</v>
      </c>
      <c r="BN62" s="79" t="s">
        <v>236</v>
      </c>
      <c r="BO62" s="79" t="s">
        <v>236</v>
      </c>
      <c r="BP62" s="79" t="s">
        <v>240</v>
      </c>
      <c r="BQ62" s="79" t="s">
        <v>240</v>
      </c>
      <c r="BR62" s="79" t="s">
        <v>240</v>
      </c>
      <c r="BS62" s="79" t="s">
        <v>240</v>
      </c>
      <c r="BT62" s="79" t="s">
        <v>240</v>
      </c>
    </row>
    <row r="63" spans="2:72" x14ac:dyDescent="0.3">
      <c r="B63" s="79">
        <f t="shared" si="2"/>
        <v>160</v>
      </c>
      <c r="C63" s="79" t="s">
        <v>205</v>
      </c>
      <c r="D63" s="79" t="s">
        <v>205</v>
      </c>
      <c r="E63" s="79" t="s">
        <v>205</v>
      </c>
      <c r="F63" s="79" t="s">
        <v>205</v>
      </c>
      <c r="G63" s="79" t="s">
        <v>205</v>
      </c>
      <c r="H63" s="79" t="s">
        <v>205</v>
      </c>
      <c r="I63" s="79" t="s">
        <v>205</v>
      </c>
      <c r="J63" s="79" t="s">
        <v>205</v>
      </c>
      <c r="K63" s="79" t="s">
        <v>205</v>
      </c>
      <c r="L63" s="79" t="s">
        <v>205</v>
      </c>
      <c r="M63" s="79" t="s">
        <v>212</v>
      </c>
      <c r="N63" s="79" t="s">
        <v>204</v>
      </c>
      <c r="O63" s="79" t="s">
        <v>204</v>
      </c>
      <c r="P63" s="79" t="s">
        <v>204</v>
      </c>
      <c r="Q63" s="79" t="s">
        <v>204</v>
      </c>
      <c r="R63" s="79" t="s">
        <v>204</v>
      </c>
      <c r="S63" s="79" t="s">
        <v>204</v>
      </c>
      <c r="T63" s="79" t="s">
        <v>204</v>
      </c>
      <c r="U63" s="79" t="s">
        <v>204</v>
      </c>
      <c r="V63" s="79" t="s">
        <v>204</v>
      </c>
      <c r="W63" s="79" t="s">
        <v>204</v>
      </c>
      <c r="X63" s="79" t="s">
        <v>204</v>
      </c>
      <c r="Y63" s="79" t="s">
        <v>214</v>
      </c>
      <c r="Z63" s="79" t="s">
        <v>214</v>
      </c>
      <c r="AA63" s="79" t="s">
        <v>214</v>
      </c>
      <c r="AB63" s="79" t="s">
        <v>214</v>
      </c>
      <c r="AC63" s="79" t="s">
        <v>214</v>
      </c>
      <c r="AD63" s="79" t="s">
        <v>214</v>
      </c>
      <c r="AE63" s="79" t="s">
        <v>214</v>
      </c>
      <c r="AF63" s="79" t="s">
        <v>214</v>
      </c>
      <c r="AG63" s="79" t="s">
        <v>214</v>
      </c>
      <c r="AH63" s="79" t="s">
        <v>219</v>
      </c>
      <c r="AI63" s="79" t="s">
        <v>219</v>
      </c>
      <c r="AJ63" s="79" t="s">
        <v>219</v>
      </c>
      <c r="AK63" s="79" t="s">
        <v>219</v>
      </c>
      <c r="AL63" s="79" t="s">
        <v>219</v>
      </c>
      <c r="AM63" s="79" t="s">
        <v>219</v>
      </c>
      <c r="AN63" s="79" t="s">
        <v>219</v>
      </c>
      <c r="AO63" s="79" t="s">
        <v>219</v>
      </c>
      <c r="AP63" s="79" t="s">
        <v>219</v>
      </c>
      <c r="AQ63" s="79" t="s">
        <v>225</v>
      </c>
      <c r="AR63" s="79" t="s">
        <v>225</v>
      </c>
      <c r="AS63" s="79" t="s">
        <v>225</v>
      </c>
      <c r="AT63" s="79" t="s">
        <v>225</v>
      </c>
      <c r="AU63" s="79" t="s">
        <v>225</v>
      </c>
      <c r="AV63" s="79" t="s">
        <v>225</v>
      </c>
      <c r="AW63" s="79" t="s">
        <v>225</v>
      </c>
      <c r="AX63" s="79" t="s">
        <v>225</v>
      </c>
      <c r="AY63" s="79" t="s">
        <v>225</v>
      </c>
      <c r="AZ63" s="79" t="s">
        <v>231</v>
      </c>
      <c r="BA63" s="79" t="s">
        <v>231</v>
      </c>
      <c r="BB63" s="79" t="s">
        <v>231</v>
      </c>
      <c r="BC63" s="79" t="s">
        <v>231</v>
      </c>
      <c r="BD63" s="79" t="s">
        <v>231</v>
      </c>
      <c r="BE63" s="79" t="s">
        <v>231</v>
      </c>
      <c r="BF63" s="79" t="s">
        <v>231</v>
      </c>
      <c r="BG63" s="79" t="s">
        <v>231</v>
      </c>
      <c r="BH63" s="79" t="s">
        <v>231</v>
      </c>
      <c r="BI63" s="79" t="s">
        <v>236</v>
      </c>
      <c r="BJ63" s="79" t="s">
        <v>236</v>
      </c>
      <c r="BK63" s="79" t="s">
        <v>236</v>
      </c>
      <c r="BL63" s="79" t="s">
        <v>236</v>
      </c>
      <c r="BM63" s="79" t="s">
        <v>236</v>
      </c>
      <c r="BN63" s="79" t="s">
        <v>236</v>
      </c>
      <c r="BO63" s="79" t="s">
        <v>236</v>
      </c>
      <c r="BP63" s="79" t="s">
        <v>236</v>
      </c>
      <c r="BQ63" s="79" t="s">
        <v>236</v>
      </c>
      <c r="BR63" s="79" t="s">
        <v>240</v>
      </c>
      <c r="BS63" s="79" t="s">
        <v>240</v>
      </c>
      <c r="BT63" s="79" t="s">
        <v>240</v>
      </c>
    </row>
    <row r="64" spans="2:72" x14ac:dyDescent="0.3">
      <c r="B64" s="79">
        <f t="shared" si="2"/>
        <v>162</v>
      </c>
      <c r="C64" s="79" t="s">
        <v>206</v>
      </c>
      <c r="D64" s="79" t="s">
        <v>205</v>
      </c>
      <c r="E64" s="79" t="s">
        <v>205</v>
      </c>
      <c r="F64" s="79" t="s">
        <v>205</v>
      </c>
      <c r="G64" s="79" t="s">
        <v>205</v>
      </c>
      <c r="H64" s="79" t="s">
        <v>205</v>
      </c>
      <c r="I64" s="79" t="s">
        <v>205</v>
      </c>
      <c r="J64" s="79" t="s">
        <v>205</v>
      </c>
      <c r="K64" s="79" t="s">
        <v>205</v>
      </c>
      <c r="L64" s="79" t="s">
        <v>205</v>
      </c>
      <c r="M64" s="79" t="s">
        <v>212</v>
      </c>
      <c r="N64" s="79" t="s">
        <v>212</v>
      </c>
      <c r="O64" s="79" t="s">
        <v>204</v>
      </c>
      <c r="P64" s="79" t="s">
        <v>204</v>
      </c>
      <c r="Q64" s="79" t="s">
        <v>204</v>
      </c>
      <c r="R64" s="79" t="s">
        <v>204</v>
      </c>
      <c r="S64" s="79" t="s">
        <v>204</v>
      </c>
      <c r="T64" s="79" t="s">
        <v>204</v>
      </c>
      <c r="U64" s="79" t="s">
        <v>204</v>
      </c>
      <c r="V64" s="79" t="s">
        <v>204</v>
      </c>
      <c r="W64" s="79" t="s">
        <v>204</v>
      </c>
      <c r="X64" s="79" t="s">
        <v>204</v>
      </c>
      <c r="Y64" s="79" t="s">
        <v>204</v>
      </c>
      <c r="Z64" s="79" t="s">
        <v>214</v>
      </c>
      <c r="AA64" s="79" t="s">
        <v>214</v>
      </c>
      <c r="AB64" s="79" t="s">
        <v>214</v>
      </c>
      <c r="AC64" s="79" t="s">
        <v>214</v>
      </c>
      <c r="AD64" s="79" t="s">
        <v>214</v>
      </c>
      <c r="AE64" s="79" t="s">
        <v>214</v>
      </c>
      <c r="AF64" s="79" t="s">
        <v>214</v>
      </c>
      <c r="AG64" s="79" t="s">
        <v>214</v>
      </c>
      <c r="AH64" s="79" t="s">
        <v>214</v>
      </c>
      <c r="AI64" s="79" t="s">
        <v>219</v>
      </c>
      <c r="AJ64" s="79" t="s">
        <v>219</v>
      </c>
      <c r="AK64" s="79" t="s">
        <v>219</v>
      </c>
      <c r="AL64" s="79" t="s">
        <v>219</v>
      </c>
      <c r="AM64" s="79" t="s">
        <v>219</v>
      </c>
      <c r="AN64" s="79" t="s">
        <v>219</v>
      </c>
      <c r="AO64" s="79" t="s">
        <v>219</v>
      </c>
      <c r="AP64" s="79" t="s">
        <v>219</v>
      </c>
      <c r="AQ64" s="79" t="s">
        <v>219</v>
      </c>
      <c r="AR64" s="79" t="s">
        <v>225</v>
      </c>
      <c r="AS64" s="79" t="s">
        <v>225</v>
      </c>
      <c r="AT64" s="79" t="s">
        <v>225</v>
      </c>
      <c r="AU64" s="79" t="s">
        <v>225</v>
      </c>
      <c r="AV64" s="79" t="s">
        <v>225</v>
      </c>
      <c r="AW64" s="79" t="s">
        <v>225</v>
      </c>
      <c r="AX64" s="79" t="s">
        <v>225</v>
      </c>
      <c r="AY64" s="79" t="s">
        <v>225</v>
      </c>
      <c r="AZ64" s="79" t="s">
        <v>225</v>
      </c>
      <c r="BA64" s="79" t="s">
        <v>231</v>
      </c>
      <c r="BB64" s="79" t="s">
        <v>231</v>
      </c>
      <c r="BC64" s="79" t="s">
        <v>231</v>
      </c>
      <c r="BD64" s="79" t="s">
        <v>231</v>
      </c>
      <c r="BE64" s="79" t="s">
        <v>231</v>
      </c>
      <c r="BF64" s="79" t="s">
        <v>231</v>
      </c>
      <c r="BG64" s="79" t="s">
        <v>231</v>
      </c>
      <c r="BH64" s="79" t="s">
        <v>231</v>
      </c>
      <c r="BI64" s="79" t="s">
        <v>231</v>
      </c>
      <c r="BJ64" s="79" t="s">
        <v>236</v>
      </c>
      <c r="BK64" s="79" t="s">
        <v>236</v>
      </c>
      <c r="BL64" s="79" t="s">
        <v>236</v>
      </c>
      <c r="BM64" s="79" t="s">
        <v>236</v>
      </c>
      <c r="BN64" s="79" t="s">
        <v>236</v>
      </c>
      <c r="BO64" s="79" t="s">
        <v>236</v>
      </c>
      <c r="BP64" s="79" t="s">
        <v>236</v>
      </c>
      <c r="BQ64" s="79" t="s">
        <v>236</v>
      </c>
      <c r="BR64" s="79" t="s">
        <v>236</v>
      </c>
      <c r="BS64" s="79" t="s">
        <v>240</v>
      </c>
      <c r="BT64" s="79" t="s">
        <v>240</v>
      </c>
    </row>
    <row r="65" spans="2:72" x14ac:dyDescent="0.3">
      <c r="B65" s="79">
        <f t="shared" si="2"/>
        <v>164</v>
      </c>
      <c r="C65" s="79" t="s">
        <v>206</v>
      </c>
      <c r="D65" s="79" t="s">
        <v>206</v>
      </c>
      <c r="E65" s="79" t="s">
        <v>205</v>
      </c>
      <c r="F65" s="79" t="s">
        <v>205</v>
      </c>
      <c r="G65" s="79" t="s">
        <v>205</v>
      </c>
      <c r="H65" s="79" t="s">
        <v>205</v>
      </c>
      <c r="I65" s="79" t="s">
        <v>205</v>
      </c>
      <c r="J65" s="79" t="s">
        <v>205</v>
      </c>
      <c r="K65" s="79" t="s">
        <v>205</v>
      </c>
      <c r="L65" s="79" t="s">
        <v>205</v>
      </c>
      <c r="M65" s="79" t="s">
        <v>247</v>
      </c>
      <c r="N65" s="79" t="s">
        <v>247</v>
      </c>
      <c r="O65" s="79" t="s">
        <v>212</v>
      </c>
      <c r="P65" s="79" t="s">
        <v>204</v>
      </c>
      <c r="Q65" s="79" t="s">
        <v>204</v>
      </c>
      <c r="R65" s="79" t="s">
        <v>204</v>
      </c>
      <c r="S65" s="79" t="s">
        <v>204</v>
      </c>
      <c r="T65" s="79" t="s">
        <v>204</v>
      </c>
      <c r="U65" s="79" t="s">
        <v>204</v>
      </c>
      <c r="V65" s="79" t="s">
        <v>204</v>
      </c>
      <c r="W65" s="79" t="s">
        <v>204</v>
      </c>
      <c r="X65" s="79" t="s">
        <v>204</v>
      </c>
      <c r="Y65" s="79" t="s">
        <v>204</v>
      </c>
      <c r="Z65" s="79" t="s">
        <v>204</v>
      </c>
      <c r="AA65" s="79" t="s">
        <v>204</v>
      </c>
      <c r="AB65" s="79" t="s">
        <v>214</v>
      </c>
      <c r="AC65" s="79" t="s">
        <v>214</v>
      </c>
      <c r="AD65" s="79" t="s">
        <v>214</v>
      </c>
      <c r="AE65" s="79" t="s">
        <v>214</v>
      </c>
      <c r="AF65" s="79" t="s">
        <v>214</v>
      </c>
      <c r="AG65" s="79" t="s">
        <v>214</v>
      </c>
      <c r="AH65" s="79" t="s">
        <v>214</v>
      </c>
      <c r="AI65" s="79" t="s">
        <v>214</v>
      </c>
      <c r="AJ65" s="79" t="s">
        <v>214</v>
      </c>
      <c r="AK65" s="79" t="s">
        <v>219</v>
      </c>
      <c r="AL65" s="79" t="s">
        <v>219</v>
      </c>
      <c r="AM65" s="79" t="s">
        <v>219</v>
      </c>
      <c r="AN65" s="79" t="s">
        <v>219</v>
      </c>
      <c r="AO65" s="79" t="s">
        <v>219</v>
      </c>
      <c r="AP65" s="79" t="s">
        <v>219</v>
      </c>
      <c r="AQ65" s="79" t="s">
        <v>219</v>
      </c>
      <c r="AR65" s="79" t="s">
        <v>219</v>
      </c>
      <c r="AS65" s="79" t="s">
        <v>219</v>
      </c>
      <c r="AT65" s="79" t="s">
        <v>225</v>
      </c>
      <c r="AU65" s="79" t="s">
        <v>225</v>
      </c>
      <c r="AV65" s="79" t="s">
        <v>225</v>
      </c>
      <c r="AW65" s="79" t="s">
        <v>225</v>
      </c>
      <c r="AX65" s="79" t="s">
        <v>225</v>
      </c>
      <c r="AY65" s="79" t="s">
        <v>225</v>
      </c>
      <c r="AZ65" s="79" t="s">
        <v>225</v>
      </c>
      <c r="BA65" s="79" t="s">
        <v>225</v>
      </c>
      <c r="BB65" s="79" t="s">
        <v>225</v>
      </c>
      <c r="BC65" s="79" t="s">
        <v>231</v>
      </c>
      <c r="BD65" s="79" t="s">
        <v>231</v>
      </c>
      <c r="BE65" s="79" t="s">
        <v>231</v>
      </c>
      <c r="BF65" s="79" t="s">
        <v>231</v>
      </c>
      <c r="BG65" s="79" t="s">
        <v>231</v>
      </c>
      <c r="BH65" s="79" t="s">
        <v>231</v>
      </c>
      <c r="BI65" s="79" t="s">
        <v>231</v>
      </c>
      <c r="BJ65" s="79" t="s">
        <v>231</v>
      </c>
      <c r="BK65" s="79" t="s">
        <v>231</v>
      </c>
      <c r="BL65" s="79" t="s">
        <v>236</v>
      </c>
      <c r="BM65" s="79" t="s">
        <v>236</v>
      </c>
      <c r="BN65" s="79" t="s">
        <v>236</v>
      </c>
      <c r="BO65" s="79" t="s">
        <v>236</v>
      </c>
      <c r="BP65" s="79" t="s">
        <v>236</v>
      </c>
      <c r="BQ65" s="79" t="s">
        <v>236</v>
      </c>
      <c r="BR65" s="79" t="s">
        <v>236</v>
      </c>
      <c r="BS65" s="79" t="s">
        <v>236</v>
      </c>
      <c r="BT65" s="79" t="s">
        <v>236</v>
      </c>
    </row>
    <row r="66" spans="2:72" x14ac:dyDescent="0.3">
      <c r="B66" s="79">
        <f t="shared" si="2"/>
        <v>166</v>
      </c>
      <c r="C66" s="79" t="s">
        <v>206</v>
      </c>
      <c r="D66" s="79" t="s">
        <v>206</v>
      </c>
      <c r="E66" s="79" t="s">
        <v>206</v>
      </c>
      <c r="F66" s="79" t="s">
        <v>205</v>
      </c>
      <c r="G66" s="79" t="s">
        <v>205</v>
      </c>
      <c r="H66" s="79" t="s">
        <v>205</v>
      </c>
      <c r="I66" s="79" t="s">
        <v>205</v>
      </c>
      <c r="J66" s="79" t="s">
        <v>205</v>
      </c>
      <c r="K66" s="79" t="s">
        <v>205</v>
      </c>
      <c r="L66" s="79" t="s">
        <v>205</v>
      </c>
      <c r="M66" s="79" t="s">
        <v>247</v>
      </c>
      <c r="N66" s="79" t="s">
        <v>247</v>
      </c>
      <c r="O66" s="79" t="s">
        <v>247</v>
      </c>
      <c r="P66" s="79" t="s">
        <v>212</v>
      </c>
      <c r="Q66" s="79" t="s">
        <v>204</v>
      </c>
      <c r="R66" s="79" t="s">
        <v>204</v>
      </c>
      <c r="S66" s="79" t="s">
        <v>204</v>
      </c>
      <c r="T66" s="79" t="s">
        <v>204</v>
      </c>
      <c r="U66" s="79" t="s">
        <v>204</v>
      </c>
      <c r="V66" s="79" t="s">
        <v>204</v>
      </c>
      <c r="W66" s="79" t="s">
        <v>204</v>
      </c>
      <c r="X66" s="79" t="s">
        <v>204</v>
      </c>
      <c r="Y66" s="79" t="s">
        <v>204</v>
      </c>
      <c r="Z66" s="79" t="s">
        <v>204</v>
      </c>
      <c r="AA66" s="79" t="s">
        <v>204</v>
      </c>
      <c r="AB66" s="79" t="s">
        <v>204</v>
      </c>
      <c r="AC66" s="79" t="s">
        <v>214</v>
      </c>
      <c r="AD66" s="79" t="s">
        <v>214</v>
      </c>
      <c r="AE66" s="79" t="s">
        <v>214</v>
      </c>
      <c r="AF66" s="79" t="s">
        <v>214</v>
      </c>
      <c r="AG66" s="79" t="s">
        <v>214</v>
      </c>
      <c r="AH66" s="79" t="s">
        <v>214</v>
      </c>
      <c r="AI66" s="79" t="s">
        <v>214</v>
      </c>
      <c r="AJ66" s="79" t="s">
        <v>214</v>
      </c>
      <c r="AK66" s="79" t="s">
        <v>214</v>
      </c>
      <c r="AL66" s="79" t="s">
        <v>219</v>
      </c>
      <c r="AM66" s="79" t="s">
        <v>219</v>
      </c>
      <c r="AN66" s="79" t="s">
        <v>219</v>
      </c>
      <c r="AO66" s="79" t="s">
        <v>219</v>
      </c>
      <c r="AP66" s="79" t="s">
        <v>219</v>
      </c>
      <c r="AQ66" s="79" t="s">
        <v>219</v>
      </c>
      <c r="AR66" s="79" t="s">
        <v>219</v>
      </c>
      <c r="AS66" s="79" t="s">
        <v>219</v>
      </c>
      <c r="AT66" s="79" t="s">
        <v>219</v>
      </c>
      <c r="AU66" s="79" t="s">
        <v>225</v>
      </c>
      <c r="AV66" s="79" t="s">
        <v>225</v>
      </c>
      <c r="AW66" s="79" t="s">
        <v>225</v>
      </c>
      <c r="AX66" s="79" t="s">
        <v>225</v>
      </c>
      <c r="AY66" s="79" t="s">
        <v>225</v>
      </c>
      <c r="AZ66" s="79" t="s">
        <v>225</v>
      </c>
      <c r="BA66" s="79" t="s">
        <v>225</v>
      </c>
      <c r="BB66" s="79" t="s">
        <v>225</v>
      </c>
      <c r="BC66" s="79" t="s">
        <v>225</v>
      </c>
      <c r="BD66" s="79" t="s">
        <v>225</v>
      </c>
      <c r="BE66" s="79" t="s">
        <v>231</v>
      </c>
      <c r="BF66" s="79" t="s">
        <v>231</v>
      </c>
      <c r="BG66" s="79" t="s">
        <v>231</v>
      </c>
      <c r="BH66" s="79" t="s">
        <v>231</v>
      </c>
      <c r="BI66" s="79" t="s">
        <v>231</v>
      </c>
      <c r="BJ66" s="79" t="s">
        <v>231</v>
      </c>
      <c r="BK66" s="79" t="s">
        <v>231</v>
      </c>
      <c r="BL66" s="79" t="s">
        <v>231</v>
      </c>
      <c r="BM66" s="79" t="s">
        <v>231</v>
      </c>
      <c r="BN66" s="79" t="s">
        <v>236</v>
      </c>
      <c r="BO66" s="79" t="s">
        <v>236</v>
      </c>
      <c r="BP66" s="79" t="s">
        <v>236</v>
      </c>
      <c r="BQ66" s="79" t="s">
        <v>236</v>
      </c>
      <c r="BR66" s="79" t="s">
        <v>236</v>
      </c>
      <c r="BS66" s="79" t="s">
        <v>236</v>
      </c>
      <c r="BT66" s="79" t="s">
        <v>236</v>
      </c>
    </row>
    <row r="67" spans="2:72" x14ac:dyDescent="0.3">
      <c r="B67" s="79">
        <f t="shared" si="2"/>
        <v>168</v>
      </c>
      <c r="C67" s="79" t="s">
        <v>206</v>
      </c>
      <c r="D67" s="79" t="s">
        <v>206</v>
      </c>
      <c r="E67" s="79" t="s">
        <v>206</v>
      </c>
      <c r="F67" s="79" t="s">
        <v>206</v>
      </c>
      <c r="G67" s="79" t="s">
        <v>205</v>
      </c>
      <c r="H67" s="79" t="s">
        <v>205</v>
      </c>
      <c r="I67" s="79" t="s">
        <v>205</v>
      </c>
      <c r="J67" s="79" t="s">
        <v>205</v>
      </c>
      <c r="K67" s="79" t="s">
        <v>205</v>
      </c>
      <c r="L67" s="79" t="s">
        <v>247</v>
      </c>
      <c r="M67" s="79" t="s">
        <v>247</v>
      </c>
      <c r="N67" s="79" t="s">
        <v>247</v>
      </c>
      <c r="O67" s="79" t="s">
        <v>247</v>
      </c>
      <c r="P67" s="79" t="s">
        <v>247</v>
      </c>
      <c r="Q67" s="79" t="s">
        <v>212</v>
      </c>
      <c r="R67" s="79" t="s">
        <v>212</v>
      </c>
      <c r="S67" s="79" t="s">
        <v>204</v>
      </c>
      <c r="T67" s="79" t="s">
        <v>204</v>
      </c>
      <c r="U67" s="79" t="s">
        <v>204</v>
      </c>
      <c r="V67" s="79" t="s">
        <v>204</v>
      </c>
      <c r="W67" s="79" t="s">
        <v>204</v>
      </c>
      <c r="X67" s="79" t="s">
        <v>204</v>
      </c>
      <c r="Y67" s="79" t="s">
        <v>204</v>
      </c>
      <c r="Z67" s="79" t="s">
        <v>204</v>
      </c>
      <c r="AA67" s="79" t="s">
        <v>204</v>
      </c>
      <c r="AB67" s="79" t="s">
        <v>204</v>
      </c>
      <c r="AC67" s="79" t="s">
        <v>204</v>
      </c>
      <c r="AD67" s="79" t="s">
        <v>214</v>
      </c>
      <c r="AE67" s="79" t="s">
        <v>214</v>
      </c>
      <c r="AF67" s="79" t="s">
        <v>214</v>
      </c>
      <c r="AG67" s="79" t="s">
        <v>214</v>
      </c>
      <c r="AH67" s="79" t="s">
        <v>214</v>
      </c>
      <c r="AI67" s="79" t="s">
        <v>214</v>
      </c>
      <c r="AJ67" s="79" t="s">
        <v>214</v>
      </c>
      <c r="AK67" s="79" t="s">
        <v>214</v>
      </c>
      <c r="AL67" s="79" t="s">
        <v>214</v>
      </c>
      <c r="AM67" s="79" t="s">
        <v>214</v>
      </c>
      <c r="AN67" s="79" t="s">
        <v>219</v>
      </c>
      <c r="AO67" s="79" t="s">
        <v>219</v>
      </c>
      <c r="AP67" s="79" t="s">
        <v>219</v>
      </c>
      <c r="AQ67" s="79" t="s">
        <v>219</v>
      </c>
      <c r="AR67" s="79" t="s">
        <v>219</v>
      </c>
      <c r="AS67" s="79" t="s">
        <v>219</v>
      </c>
      <c r="AT67" s="79" t="s">
        <v>219</v>
      </c>
      <c r="AU67" s="79" t="s">
        <v>219</v>
      </c>
      <c r="AV67" s="79" t="s">
        <v>219</v>
      </c>
      <c r="AW67" s="79" t="s">
        <v>225</v>
      </c>
      <c r="AX67" s="79" t="s">
        <v>225</v>
      </c>
      <c r="AY67" s="79" t="s">
        <v>225</v>
      </c>
      <c r="AZ67" s="79" t="s">
        <v>225</v>
      </c>
      <c r="BA67" s="79" t="s">
        <v>225</v>
      </c>
      <c r="BB67" s="79" t="s">
        <v>225</v>
      </c>
      <c r="BC67" s="79" t="s">
        <v>225</v>
      </c>
      <c r="BD67" s="79" t="s">
        <v>225</v>
      </c>
      <c r="BE67" s="79" t="s">
        <v>225</v>
      </c>
      <c r="BF67" s="79" t="s">
        <v>231</v>
      </c>
      <c r="BG67" s="79" t="s">
        <v>231</v>
      </c>
      <c r="BH67" s="79" t="s">
        <v>231</v>
      </c>
      <c r="BI67" s="79" t="s">
        <v>231</v>
      </c>
      <c r="BJ67" s="79" t="s">
        <v>231</v>
      </c>
      <c r="BK67" s="79" t="s">
        <v>231</v>
      </c>
      <c r="BL67" s="79" t="s">
        <v>231</v>
      </c>
      <c r="BM67" s="79" t="s">
        <v>231</v>
      </c>
      <c r="BN67" s="79" t="s">
        <v>231</v>
      </c>
      <c r="BO67" s="79" t="s">
        <v>236</v>
      </c>
      <c r="BP67" s="79" t="s">
        <v>236</v>
      </c>
      <c r="BQ67" s="79" t="s">
        <v>236</v>
      </c>
      <c r="BR67" s="79" t="s">
        <v>236</v>
      </c>
      <c r="BS67" s="79" t="s">
        <v>236</v>
      </c>
      <c r="BT67" s="79" t="s">
        <v>236</v>
      </c>
    </row>
    <row r="68" spans="2:72" x14ac:dyDescent="0.3">
      <c r="B68" s="79">
        <f t="shared" si="2"/>
        <v>170</v>
      </c>
      <c r="C68" s="79" t="s">
        <v>206</v>
      </c>
      <c r="D68" s="79" t="s">
        <v>206</v>
      </c>
      <c r="E68" s="79" t="s">
        <v>206</v>
      </c>
      <c r="F68" s="79" t="s">
        <v>206</v>
      </c>
      <c r="G68" s="79" t="s">
        <v>206</v>
      </c>
      <c r="H68" s="79" t="s">
        <v>205</v>
      </c>
      <c r="I68" s="79" t="s">
        <v>205</v>
      </c>
      <c r="J68" s="79" t="s">
        <v>205</v>
      </c>
      <c r="K68" s="79" t="s">
        <v>205</v>
      </c>
      <c r="L68" s="79" t="s">
        <v>247</v>
      </c>
      <c r="M68" s="79" t="s">
        <v>247</v>
      </c>
      <c r="N68" s="79" t="s">
        <v>247</v>
      </c>
      <c r="O68" s="79" t="s">
        <v>247</v>
      </c>
      <c r="P68" s="79" t="s">
        <v>247</v>
      </c>
      <c r="Q68" s="79" t="s">
        <v>247</v>
      </c>
      <c r="R68" s="79" t="s">
        <v>247</v>
      </c>
      <c r="S68" s="79" t="s">
        <v>212</v>
      </c>
      <c r="T68" s="79" t="s">
        <v>204</v>
      </c>
      <c r="U68" s="79" t="s">
        <v>204</v>
      </c>
      <c r="V68" s="79" t="s">
        <v>204</v>
      </c>
      <c r="W68" s="79" t="s">
        <v>204</v>
      </c>
      <c r="X68" s="79" t="s">
        <v>204</v>
      </c>
      <c r="Y68" s="79" t="s">
        <v>204</v>
      </c>
      <c r="Z68" s="79" t="s">
        <v>204</v>
      </c>
      <c r="AA68" s="79" t="s">
        <v>204</v>
      </c>
      <c r="AB68" s="79" t="s">
        <v>204</v>
      </c>
      <c r="AC68" s="79" t="s">
        <v>204</v>
      </c>
      <c r="AD68" s="79" t="s">
        <v>204</v>
      </c>
      <c r="AE68" s="79" t="s">
        <v>214</v>
      </c>
      <c r="AF68" s="79" t="s">
        <v>214</v>
      </c>
      <c r="AG68" s="79" t="s">
        <v>214</v>
      </c>
      <c r="AH68" s="79" t="s">
        <v>214</v>
      </c>
      <c r="AI68" s="79" t="s">
        <v>214</v>
      </c>
      <c r="AJ68" s="79" t="s">
        <v>214</v>
      </c>
      <c r="AK68" s="79" t="s">
        <v>214</v>
      </c>
      <c r="AL68" s="79" t="s">
        <v>214</v>
      </c>
      <c r="AM68" s="79" t="s">
        <v>214</v>
      </c>
      <c r="AN68" s="79" t="s">
        <v>214</v>
      </c>
      <c r="AO68" s="79" t="s">
        <v>219</v>
      </c>
      <c r="AP68" s="79" t="s">
        <v>219</v>
      </c>
      <c r="AQ68" s="79" t="s">
        <v>219</v>
      </c>
      <c r="AR68" s="79" t="s">
        <v>219</v>
      </c>
      <c r="AS68" s="79" t="s">
        <v>219</v>
      </c>
      <c r="AT68" s="79" t="s">
        <v>219</v>
      </c>
      <c r="AU68" s="79" t="s">
        <v>219</v>
      </c>
      <c r="AV68" s="79" t="s">
        <v>219</v>
      </c>
      <c r="AW68" s="79" t="s">
        <v>219</v>
      </c>
      <c r="AX68" s="79" t="s">
        <v>225</v>
      </c>
      <c r="AY68" s="79" t="s">
        <v>225</v>
      </c>
      <c r="AZ68" s="79" t="s">
        <v>225</v>
      </c>
      <c r="BA68" s="79" t="s">
        <v>225</v>
      </c>
      <c r="BB68" s="79" t="s">
        <v>225</v>
      </c>
      <c r="BC68" s="79" t="s">
        <v>225</v>
      </c>
      <c r="BD68" s="79" t="s">
        <v>225</v>
      </c>
      <c r="BE68" s="79" t="s">
        <v>225</v>
      </c>
      <c r="BF68" s="79" t="s">
        <v>225</v>
      </c>
      <c r="BG68" s="79" t="s">
        <v>225</v>
      </c>
      <c r="BH68" s="79" t="s">
        <v>231</v>
      </c>
      <c r="BI68" s="79" t="s">
        <v>231</v>
      </c>
      <c r="BJ68" s="79" t="s">
        <v>231</v>
      </c>
      <c r="BK68" s="79" t="s">
        <v>231</v>
      </c>
      <c r="BL68" s="79" t="s">
        <v>231</v>
      </c>
      <c r="BM68" s="79" t="s">
        <v>231</v>
      </c>
      <c r="BN68" s="79" t="s">
        <v>231</v>
      </c>
      <c r="BO68" s="79" t="s">
        <v>231</v>
      </c>
      <c r="BP68" s="79" t="s">
        <v>231</v>
      </c>
      <c r="BQ68" s="79" t="s">
        <v>236</v>
      </c>
      <c r="BR68" s="79" t="s">
        <v>236</v>
      </c>
      <c r="BS68" s="79" t="s">
        <v>236</v>
      </c>
      <c r="BT68" s="79" t="s">
        <v>236</v>
      </c>
    </row>
    <row r="69" spans="2:72" x14ac:dyDescent="0.3">
      <c r="B69" s="79">
        <f t="shared" ref="B69:B80" si="3">B68+2</f>
        <v>172</v>
      </c>
      <c r="C69" s="79" t="s">
        <v>206</v>
      </c>
      <c r="D69" s="79" t="s">
        <v>206</v>
      </c>
      <c r="E69" s="79" t="s">
        <v>206</v>
      </c>
      <c r="F69" s="79" t="s">
        <v>206</v>
      </c>
      <c r="G69" s="79" t="s">
        <v>206</v>
      </c>
      <c r="H69" s="79" t="s">
        <v>206</v>
      </c>
      <c r="I69" s="79" t="s">
        <v>205</v>
      </c>
      <c r="J69" s="79" t="s">
        <v>205</v>
      </c>
      <c r="K69" s="79" t="s">
        <v>205</v>
      </c>
      <c r="L69" s="79" t="s">
        <v>247</v>
      </c>
      <c r="M69" s="79" t="s">
        <v>247</v>
      </c>
      <c r="N69" s="79" t="s">
        <v>247</v>
      </c>
      <c r="O69" s="79" t="s">
        <v>247</v>
      </c>
      <c r="P69" s="79" t="s">
        <v>247</v>
      </c>
      <c r="Q69" s="79" t="s">
        <v>247</v>
      </c>
      <c r="R69" s="79" t="s">
        <v>247</v>
      </c>
      <c r="S69" s="79" t="s">
        <v>247</v>
      </c>
      <c r="T69" s="79" t="s">
        <v>212</v>
      </c>
      <c r="U69" s="79" t="s">
        <v>204</v>
      </c>
      <c r="V69" s="79" t="s">
        <v>204</v>
      </c>
      <c r="W69" s="79" t="s">
        <v>204</v>
      </c>
      <c r="X69" s="79" t="s">
        <v>204</v>
      </c>
      <c r="Y69" s="79" t="s">
        <v>204</v>
      </c>
      <c r="Z69" s="79" t="s">
        <v>204</v>
      </c>
      <c r="AA69" s="79" t="s">
        <v>204</v>
      </c>
      <c r="AB69" s="79" t="s">
        <v>204</v>
      </c>
      <c r="AC69" s="79" t="s">
        <v>204</v>
      </c>
      <c r="AD69" s="79" t="s">
        <v>204</v>
      </c>
      <c r="AE69" s="79" t="s">
        <v>204</v>
      </c>
      <c r="AF69" s="79" t="s">
        <v>204</v>
      </c>
      <c r="AG69" s="79" t="s">
        <v>214</v>
      </c>
      <c r="AH69" s="79" t="s">
        <v>214</v>
      </c>
      <c r="AI69" s="79" t="s">
        <v>214</v>
      </c>
      <c r="AJ69" s="79" t="s">
        <v>214</v>
      </c>
      <c r="AK69" s="79" t="s">
        <v>214</v>
      </c>
      <c r="AL69" s="79" t="s">
        <v>214</v>
      </c>
      <c r="AM69" s="79" t="s">
        <v>214</v>
      </c>
      <c r="AN69" s="79" t="s">
        <v>214</v>
      </c>
      <c r="AO69" s="79" t="s">
        <v>214</v>
      </c>
      <c r="AP69" s="79" t="s">
        <v>219</v>
      </c>
      <c r="AQ69" s="79" t="s">
        <v>219</v>
      </c>
      <c r="AR69" s="79" t="s">
        <v>219</v>
      </c>
      <c r="AS69" s="79" t="s">
        <v>219</v>
      </c>
      <c r="AT69" s="79" t="s">
        <v>219</v>
      </c>
      <c r="AU69" s="79" t="s">
        <v>219</v>
      </c>
      <c r="AV69" s="79" t="s">
        <v>219</v>
      </c>
      <c r="AW69" s="79" t="s">
        <v>219</v>
      </c>
      <c r="AX69" s="79" t="s">
        <v>219</v>
      </c>
      <c r="AY69" s="79" t="s">
        <v>219</v>
      </c>
      <c r="AZ69" s="79" t="s">
        <v>225</v>
      </c>
      <c r="BA69" s="79" t="s">
        <v>225</v>
      </c>
      <c r="BB69" s="79" t="s">
        <v>225</v>
      </c>
      <c r="BC69" s="79" t="s">
        <v>225</v>
      </c>
      <c r="BD69" s="79" t="s">
        <v>225</v>
      </c>
      <c r="BE69" s="79" t="s">
        <v>225</v>
      </c>
      <c r="BF69" s="79" t="s">
        <v>225</v>
      </c>
      <c r="BG69" s="79" t="s">
        <v>225</v>
      </c>
      <c r="BH69" s="79" t="s">
        <v>225</v>
      </c>
      <c r="BI69" s="79" t="s">
        <v>231</v>
      </c>
      <c r="BJ69" s="79" t="s">
        <v>231</v>
      </c>
      <c r="BK69" s="79" t="s">
        <v>231</v>
      </c>
      <c r="BL69" s="79" t="s">
        <v>231</v>
      </c>
      <c r="BM69" s="79" t="s">
        <v>231</v>
      </c>
      <c r="BN69" s="79" t="s">
        <v>231</v>
      </c>
      <c r="BO69" s="79" t="s">
        <v>231</v>
      </c>
      <c r="BP69" s="79" t="s">
        <v>231</v>
      </c>
      <c r="BQ69" s="79" t="s">
        <v>231</v>
      </c>
      <c r="BR69" s="79" t="s">
        <v>231</v>
      </c>
      <c r="BS69" s="79" t="s">
        <v>236</v>
      </c>
      <c r="BT69" s="79" t="s">
        <v>236</v>
      </c>
    </row>
    <row r="70" spans="2:72" x14ac:dyDescent="0.3">
      <c r="B70" s="79">
        <f t="shared" si="3"/>
        <v>174</v>
      </c>
      <c r="C70" s="79" t="s">
        <v>206</v>
      </c>
      <c r="D70" s="79" t="s">
        <v>206</v>
      </c>
      <c r="E70" s="79" t="s">
        <v>206</v>
      </c>
      <c r="F70" s="79" t="s">
        <v>206</v>
      </c>
      <c r="G70" s="79" t="s">
        <v>206</v>
      </c>
      <c r="H70" s="79" t="s">
        <v>206</v>
      </c>
      <c r="I70" s="79" t="s">
        <v>206</v>
      </c>
      <c r="J70" s="79" t="s">
        <v>206</v>
      </c>
      <c r="K70" s="79" t="s">
        <v>205</v>
      </c>
      <c r="L70" s="79" t="s">
        <v>247</v>
      </c>
      <c r="M70" s="79" t="s">
        <v>247</v>
      </c>
      <c r="N70" s="79" t="s">
        <v>247</v>
      </c>
      <c r="O70" s="79" t="s">
        <v>247</v>
      </c>
      <c r="P70" s="79" t="s">
        <v>247</v>
      </c>
      <c r="Q70" s="79" t="s">
        <v>247</v>
      </c>
      <c r="R70" s="79" t="s">
        <v>247</v>
      </c>
      <c r="S70" s="79" t="s">
        <v>247</v>
      </c>
      <c r="T70" s="79" t="s">
        <v>247</v>
      </c>
      <c r="U70" s="79" t="s">
        <v>247</v>
      </c>
      <c r="V70" s="79" t="s">
        <v>251</v>
      </c>
      <c r="W70" s="79" t="s">
        <v>204</v>
      </c>
      <c r="X70" s="79" t="s">
        <v>204</v>
      </c>
      <c r="Y70" s="79" t="s">
        <v>204</v>
      </c>
      <c r="Z70" s="79" t="s">
        <v>204</v>
      </c>
      <c r="AA70" s="79" t="s">
        <v>204</v>
      </c>
      <c r="AB70" s="79" t="s">
        <v>204</v>
      </c>
      <c r="AC70" s="79" t="s">
        <v>204</v>
      </c>
      <c r="AD70" s="79" t="s">
        <v>204</v>
      </c>
      <c r="AE70" s="79" t="s">
        <v>204</v>
      </c>
      <c r="AF70" s="79" t="s">
        <v>204</v>
      </c>
      <c r="AG70" s="79" t="s">
        <v>204</v>
      </c>
      <c r="AH70" s="79" t="s">
        <v>214</v>
      </c>
      <c r="AI70" s="79" t="s">
        <v>214</v>
      </c>
      <c r="AJ70" s="79" t="s">
        <v>214</v>
      </c>
      <c r="AK70" s="79" t="s">
        <v>214</v>
      </c>
      <c r="AL70" s="79" t="s">
        <v>214</v>
      </c>
      <c r="AM70" s="79" t="s">
        <v>214</v>
      </c>
      <c r="AN70" s="79" t="s">
        <v>214</v>
      </c>
      <c r="AO70" s="79" t="s">
        <v>214</v>
      </c>
      <c r="AP70" s="79" t="s">
        <v>214</v>
      </c>
      <c r="AQ70" s="79" t="s">
        <v>214</v>
      </c>
      <c r="AR70" s="79" t="s">
        <v>219</v>
      </c>
      <c r="AS70" s="79" t="s">
        <v>219</v>
      </c>
      <c r="AT70" s="79" t="s">
        <v>219</v>
      </c>
      <c r="AU70" s="79" t="s">
        <v>219</v>
      </c>
      <c r="AV70" s="79" t="s">
        <v>219</v>
      </c>
      <c r="AW70" s="79" t="s">
        <v>219</v>
      </c>
      <c r="AX70" s="79" t="s">
        <v>219</v>
      </c>
      <c r="AY70" s="79" t="s">
        <v>219</v>
      </c>
      <c r="AZ70" s="79" t="s">
        <v>219</v>
      </c>
      <c r="BA70" s="79" t="s">
        <v>225</v>
      </c>
      <c r="BB70" s="79" t="s">
        <v>225</v>
      </c>
      <c r="BC70" s="79" t="s">
        <v>225</v>
      </c>
      <c r="BD70" s="79" t="s">
        <v>225</v>
      </c>
      <c r="BE70" s="79" t="s">
        <v>225</v>
      </c>
      <c r="BF70" s="79" t="s">
        <v>225</v>
      </c>
      <c r="BG70" s="79" t="s">
        <v>225</v>
      </c>
      <c r="BH70" s="79" t="s">
        <v>225</v>
      </c>
      <c r="BI70" s="79" t="s">
        <v>225</v>
      </c>
      <c r="BJ70" s="79" t="s">
        <v>225</v>
      </c>
      <c r="BK70" s="79" t="s">
        <v>231</v>
      </c>
      <c r="BL70" s="79" t="s">
        <v>231</v>
      </c>
      <c r="BM70" s="79" t="s">
        <v>231</v>
      </c>
      <c r="BN70" s="79" t="s">
        <v>231</v>
      </c>
      <c r="BO70" s="79" t="s">
        <v>231</v>
      </c>
      <c r="BP70" s="79" t="s">
        <v>231</v>
      </c>
      <c r="BQ70" s="79" t="s">
        <v>231</v>
      </c>
      <c r="BR70" s="79" t="s">
        <v>231</v>
      </c>
      <c r="BS70" s="79" t="s">
        <v>231</v>
      </c>
      <c r="BT70" s="79" t="s">
        <v>236</v>
      </c>
    </row>
    <row r="71" spans="2:72" x14ac:dyDescent="0.3">
      <c r="B71" s="79">
        <f t="shared" si="3"/>
        <v>176</v>
      </c>
      <c r="C71" s="79" t="s">
        <v>206</v>
      </c>
      <c r="D71" s="79" t="s">
        <v>206</v>
      </c>
      <c r="E71" s="79" t="s">
        <v>206</v>
      </c>
      <c r="F71" s="79" t="s">
        <v>206</v>
      </c>
      <c r="G71" s="79" t="s">
        <v>206</v>
      </c>
      <c r="H71" s="79" t="s">
        <v>206</v>
      </c>
      <c r="I71" s="79" t="s">
        <v>206</v>
      </c>
      <c r="J71" s="79" t="s">
        <v>206</v>
      </c>
      <c r="K71" s="79" t="s">
        <v>206</v>
      </c>
      <c r="L71" s="79" t="s">
        <v>206</v>
      </c>
      <c r="M71" s="79" t="s">
        <v>247</v>
      </c>
      <c r="N71" s="79" t="s">
        <v>247</v>
      </c>
      <c r="O71" s="79" t="s">
        <v>247</v>
      </c>
      <c r="P71" s="79" t="s">
        <v>247</v>
      </c>
      <c r="Q71" s="79" t="s">
        <v>247</v>
      </c>
      <c r="R71" s="79" t="s">
        <v>247</v>
      </c>
      <c r="S71" s="79" t="s">
        <v>247</v>
      </c>
      <c r="T71" s="79" t="s">
        <v>247</v>
      </c>
      <c r="U71" s="79" t="s">
        <v>247</v>
      </c>
      <c r="V71" s="79" t="s">
        <v>247</v>
      </c>
      <c r="W71" s="79" t="s">
        <v>251</v>
      </c>
      <c r="X71" s="79" t="s">
        <v>204</v>
      </c>
      <c r="Y71" s="79" t="s">
        <v>204</v>
      </c>
      <c r="Z71" s="79" t="s">
        <v>204</v>
      </c>
      <c r="AA71" s="79" t="s">
        <v>204</v>
      </c>
      <c r="AB71" s="79" t="s">
        <v>204</v>
      </c>
      <c r="AC71" s="79" t="s">
        <v>204</v>
      </c>
      <c r="AD71" s="79" t="s">
        <v>204</v>
      </c>
      <c r="AE71" s="79" t="s">
        <v>204</v>
      </c>
      <c r="AF71" s="79" t="s">
        <v>204</v>
      </c>
      <c r="AG71" s="79" t="s">
        <v>204</v>
      </c>
      <c r="AH71" s="79" t="s">
        <v>204</v>
      </c>
      <c r="AI71" s="79" t="s">
        <v>214</v>
      </c>
      <c r="AJ71" s="79" t="s">
        <v>214</v>
      </c>
      <c r="AK71" s="79" t="s">
        <v>214</v>
      </c>
      <c r="AL71" s="79" t="s">
        <v>214</v>
      </c>
      <c r="AM71" s="79" t="s">
        <v>214</v>
      </c>
      <c r="AN71" s="79" t="s">
        <v>214</v>
      </c>
      <c r="AO71" s="79" t="s">
        <v>214</v>
      </c>
      <c r="AP71" s="79" t="s">
        <v>214</v>
      </c>
      <c r="AQ71" s="79" t="s">
        <v>214</v>
      </c>
      <c r="AR71" s="79" t="s">
        <v>219</v>
      </c>
      <c r="AS71" s="79" t="s">
        <v>219</v>
      </c>
      <c r="AT71" s="79" t="s">
        <v>219</v>
      </c>
      <c r="AU71" s="79" t="s">
        <v>219</v>
      </c>
      <c r="AV71" s="79" t="s">
        <v>219</v>
      </c>
      <c r="AW71" s="79" t="s">
        <v>219</v>
      </c>
      <c r="AX71" s="79" t="s">
        <v>219</v>
      </c>
      <c r="AY71" s="79" t="s">
        <v>219</v>
      </c>
      <c r="AZ71" s="79" t="s">
        <v>219</v>
      </c>
      <c r="BA71" s="79" t="s">
        <v>219</v>
      </c>
      <c r="BB71" s="79" t="s">
        <v>225</v>
      </c>
      <c r="BC71" s="79" t="s">
        <v>225</v>
      </c>
      <c r="BD71" s="79" t="s">
        <v>225</v>
      </c>
      <c r="BE71" s="79" t="s">
        <v>225</v>
      </c>
      <c r="BF71" s="79" t="s">
        <v>225</v>
      </c>
      <c r="BG71" s="79" t="s">
        <v>225</v>
      </c>
      <c r="BH71" s="79" t="s">
        <v>225</v>
      </c>
      <c r="BI71" s="79" t="s">
        <v>225</v>
      </c>
      <c r="BJ71" s="79" t="s">
        <v>225</v>
      </c>
      <c r="BK71" s="79" t="s">
        <v>225</v>
      </c>
      <c r="BL71" s="79" t="s">
        <v>231</v>
      </c>
      <c r="BM71" s="79" t="s">
        <v>231</v>
      </c>
      <c r="BN71" s="79" t="s">
        <v>231</v>
      </c>
      <c r="BO71" s="79" t="s">
        <v>231</v>
      </c>
      <c r="BP71" s="79" t="s">
        <v>231</v>
      </c>
      <c r="BQ71" s="79" t="s">
        <v>231</v>
      </c>
      <c r="BR71" s="79" t="s">
        <v>231</v>
      </c>
      <c r="BS71" s="79" t="s">
        <v>231</v>
      </c>
      <c r="BT71" s="79" t="s">
        <v>231</v>
      </c>
    </row>
    <row r="72" spans="2:72" x14ac:dyDescent="0.3">
      <c r="B72" s="79">
        <f t="shared" si="3"/>
        <v>178</v>
      </c>
      <c r="C72" s="79" t="s">
        <v>206</v>
      </c>
      <c r="D72" s="79" t="s">
        <v>206</v>
      </c>
      <c r="E72" s="79" t="s">
        <v>206</v>
      </c>
      <c r="F72" s="79" t="s">
        <v>206</v>
      </c>
      <c r="G72" s="79" t="s">
        <v>206</v>
      </c>
      <c r="H72" s="79" t="s">
        <v>206</v>
      </c>
      <c r="I72" s="79" t="s">
        <v>206</v>
      </c>
      <c r="J72" s="79" t="s">
        <v>206</v>
      </c>
      <c r="K72" s="79" t="s">
        <v>206</v>
      </c>
      <c r="L72" s="79" t="s">
        <v>206</v>
      </c>
      <c r="M72" s="79" t="s">
        <v>206</v>
      </c>
      <c r="N72" s="79" t="s">
        <v>247</v>
      </c>
      <c r="O72" s="79" t="s">
        <v>247</v>
      </c>
      <c r="P72" s="79" t="s">
        <v>247</v>
      </c>
      <c r="Q72" s="79" t="s">
        <v>247</v>
      </c>
      <c r="R72" s="79" t="s">
        <v>247</v>
      </c>
      <c r="S72" s="79" t="s">
        <v>247</v>
      </c>
      <c r="T72" s="79" t="s">
        <v>247</v>
      </c>
      <c r="U72" s="79" t="s">
        <v>247</v>
      </c>
      <c r="V72" s="79" t="s">
        <v>247</v>
      </c>
      <c r="W72" s="79" t="s">
        <v>251</v>
      </c>
      <c r="X72" s="79" t="s">
        <v>251</v>
      </c>
      <c r="Y72" s="79" t="s">
        <v>204</v>
      </c>
      <c r="Z72" s="79" t="s">
        <v>204</v>
      </c>
      <c r="AA72" s="79" t="s">
        <v>204</v>
      </c>
      <c r="AB72" s="79" t="s">
        <v>204</v>
      </c>
      <c r="AC72" s="79" t="s">
        <v>204</v>
      </c>
      <c r="AD72" s="79" t="s">
        <v>204</v>
      </c>
      <c r="AE72" s="79" t="s">
        <v>204</v>
      </c>
      <c r="AF72" s="79" t="s">
        <v>204</v>
      </c>
      <c r="AG72" s="79" t="s">
        <v>204</v>
      </c>
      <c r="AH72" s="79" t="s">
        <v>204</v>
      </c>
      <c r="AI72" s="79" t="s">
        <v>214</v>
      </c>
      <c r="AJ72" s="79" t="s">
        <v>214</v>
      </c>
      <c r="AK72" s="79" t="s">
        <v>214</v>
      </c>
      <c r="AL72" s="79" t="s">
        <v>214</v>
      </c>
      <c r="AM72" s="79" t="s">
        <v>214</v>
      </c>
      <c r="AN72" s="79" t="s">
        <v>214</v>
      </c>
      <c r="AO72" s="79" t="s">
        <v>214</v>
      </c>
      <c r="AP72" s="79" t="s">
        <v>214</v>
      </c>
      <c r="AQ72" s="79" t="s">
        <v>214</v>
      </c>
      <c r="AR72" s="79" t="s">
        <v>263</v>
      </c>
      <c r="AS72" s="79" t="s">
        <v>219</v>
      </c>
      <c r="AT72" s="79" t="s">
        <v>219</v>
      </c>
      <c r="AU72" s="79" t="s">
        <v>219</v>
      </c>
      <c r="AV72" s="79" t="s">
        <v>219</v>
      </c>
      <c r="AW72" s="79" t="s">
        <v>219</v>
      </c>
      <c r="AX72" s="79" t="s">
        <v>219</v>
      </c>
      <c r="AY72" s="79" t="s">
        <v>219</v>
      </c>
      <c r="AZ72" s="79" t="s">
        <v>219</v>
      </c>
      <c r="BA72" s="79" t="s">
        <v>219</v>
      </c>
      <c r="BB72" s="79" t="s">
        <v>268</v>
      </c>
      <c r="BC72" s="79" t="s">
        <v>225</v>
      </c>
      <c r="BD72" s="79" t="s">
        <v>225</v>
      </c>
      <c r="BE72" s="79" t="s">
        <v>225</v>
      </c>
      <c r="BF72" s="79" t="s">
        <v>225</v>
      </c>
      <c r="BG72" s="79" t="s">
        <v>225</v>
      </c>
      <c r="BH72" s="79" t="s">
        <v>225</v>
      </c>
      <c r="BI72" s="79" t="s">
        <v>225</v>
      </c>
      <c r="BJ72" s="79" t="s">
        <v>225</v>
      </c>
      <c r="BK72" s="79" t="s">
        <v>225</v>
      </c>
      <c r="BL72" s="79" t="s">
        <v>272</v>
      </c>
      <c r="BM72" s="79" t="s">
        <v>231</v>
      </c>
      <c r="BN72" s="79" t="s">
        <v>231</v>
      </c>
      <c r="BO72" s="79" t="s">
        <v>231</v>
      </c>
      <c r="BP72" s="79" t="s">
        <v>231</v>
      </c>
      <c r="BQ72" s="79" t="s">
        <v>231</v>
      </c>
      <c r="BR72" s="79" t="s">
        <v>231</v>
      </c>
      <c r="BS72" s="79" t="s">
        <v>231</v>
      </c>
      <c r="BT72" s="79" t="s">
        <v>231</v>
      </c>
    </row>
    <row r="73" spans="2:72" x14ac:dyDescent="0.3">
      <c r="B73" s="79">
        <f t="shared" si="3"/>
        <v>180</v>
      </c>
      <c r="C73" s="79" t="s">
        <v>241</v>
      </c>
      <c r="D73" s="79" t="s">
        <v>206</v>
      </c>
      <c r="E73" s="79" t="s">
        <v>206</v>
      </c>
      <c r="F73" s="79" t="s">
        <v>206</v>
      </c>
      <c r="G73" s="79" t="s">
        <v>206</v>
      </c>
      <c r="H73" s="79" t="s">
        <v>206</v>
      </c>
      <c r="I73" s="79" t="s">
        <v>206</v>
      </c>
      <c r="J73" s="79" t="s">
        <v>206</v>
      </c>
      <c r="K73" s="79" t="s">
        <v>206</v>
      </c>
      <c r="L73" s="79" t="s">
        <v>206</v>
      </c>
      <c r="M73" s="79" t="s">
        <v>248</v>
      </c>
      <c r="N73" s="79" t="s">
        <v>247</v>
      </c>
      <c r="O73" s="79" t="s">
        <v>247</v>
      </c>
      <c r="P73" s="79" t="s">
        <v>247</v>
      </c>
      <c r="Q73" s="79" t="s">
        <v>247</v>
      </c>
      <c r="R73" s="79" t="s">
        <v>247</v>
      </c>
      <c r="S73" s="79" t="s">
        <v>247</v>
      </c>
      <c r="T73" s="79" t="s">
        <v>247</v>
      </c>
      <c r="U73" s="79" t="s">
        <v>247</v>
      </c>
      <c r="V73" s="79" t="s">
        <v>247</v>
      </c>
      <c r="W73" s="79" t="s">
        <v>252</v>
      </c>
      <c r="X73" s="79" t="s">
        <v>251</v>
      </c>
      <c r="Y73" s="79" t="s">
        <v>251</v>
      </c>
      <c r="Z73" s="79" t="s">
        <v>204</v>
      </c>
      <c r="AA73" s="79" t="s">
        <v>204</v>
      </c>
      <c r="AB73" s="79" t="s">
        <v>204</v>
      </c>
      <c r="AC73" s="79" t="s">
        <v>204</v>
      </c>
      <c r="AD73" s="79" t="s">
        <v>204</v>
      </c>
      <c r="AE73" s="79" t="s">
        <v>204</v>
      </c>
      <c r="AF73" s="79" t="s">
        <v>204</v>
      </c>
      <c r="AG73" s="79" t="s">
        <v>204</v>
      </c>
      <c r="AH73" s="79" t="s">
        <v>257</v>
      </c>
      <c r="AI73" s="79" t="s">
        <v>257</v>
      </c>
      <c r="AJ73" s="79" t="s">
        <v>257</v>
      </c>
      <c r="AK73" s="79" t="s">
        <v>214</v>
      </c>
      <c r="AL73" s="79" t="s">
        <v>214</v>
      </c>
      <c r="AM73" s="79" t="s">
        <v>214</v>
      </c>
      <c r="AN73" s="79" t="s">
        <v>214</v>
      </c>
      <c r="AO73" s="79" t="s">
        <v>214</v>
      </c>
      <c r="AP73" s="79" t="s">
        <v>214</v>
      </c>
      <c r="AQ73" s="79" t="s">
        <v>214</v>
      </c>
      <c r="AR73" s="79" t="s">
        <v>263</v>
      </c>
      <c r="AS73" s="79" t="s">
        <v>263</v>
      </c>
      <c r="AT73" s="79" t="s">
        <v>263</v>
      </c>
      <c r="AU73" s="79" t="s">
        <v>219</v>
      </c>
      <c r="AV73" s="79" t="s">
        <v>219</v>
      </c>
      <c r="AW73" s="79" t="s">
        <v>219</v>
      </c>
      <c r="AX73" s="79" t="s">
        <v>219</v>
      </c>
      <c r="AY73" s="79" t="s">
        <v>219</v>
      </c>
      <c r="AZ73" s="79" t="s">
        <v>219</v>
      </c>
      <c r="BA73" s="79" t="s">
        <v>219</v>
      </c>
      <c r="BB73" s="79" t="s">
        <v>268</v>
      </c>
      <c r="BC73" s="79" t="s">
        <v>268</v>
      </c>
      <c r="BD73" s="79" t="s">
        <v>268</v>
      </c>
      <c r="BE73" s="79" t="s">
        <v>225</v>
      </c>
      <c r="BF73" s="79" t="s">
        <v>225</v>
      </c>
      <c r="BG73" s="79" t="s">
        <v>225</v>
      </c>
      <c r="BH73" s="79" t="s">
        <v>225</v>
      </c>
      <c r="BI73" s="79" t="s">
        <v>225</v>
      </c>
      <c r="BJ73" s="79" t="s">
        <v>225</v>
      </c>
      <c r="BK73" s="79" t="s">
        <v>225</v>
      </c>
      <c r="BL73" s="79" t="s">
        <v>272</v>
      </c>
      <c r="BM73" s="79" t="s">
        <v>272</v>
      </c>
      <c r="BN73" s="79" t="s">
        <v>272</v>
      </c>
      <c r="BO73" s="79" t="s">
        <v>231</v>
      </c>
      <c r="BP73" s="79" t="s">
        <v>231</v>
      </c>
      <c r="BQ73" s="79" t="s">
        <v>231</v>
      </c>
      <c r="BR73" s="79" t="s">
        <v>231</v>
      </c>
      <c r="BS73" s="79" t="s">
        <v>231</v>
      </c>
      <c r="BT73" s="79" t="s">
        <v>231</v>
      </c>
    </row>
    <row r="74" spans="2:72" x14ac:dyDescent="0.3">
      <c r="B74" s="79">
        <f t="shared" si="3"/>
        <v>182</v>
      </c>
      <c r="C74" s="79" t="s">
        <v>241</v>
      </c>
      <c r="D74" s="79" t="s">
        <v>241</v>
      </c>
      <c r="E74" s="79" t="s">
        <v>206</v>
      </c>
      <c r="F74" s="79" t="s">
        <v>206</v>
      </c>
      <c r="G74" s="79" t="s">
        <v>206</v>
      </c>
      <c r="H74" s="79" t="s">
        <v>206</v>
      </c>
      <c r="I74" s="79" t="s">
        <v>206</v>
      </c>
      <c r="J74" s="79" t="s">
        <v>206</v>
      </c>
      <c r="K74" s="79" t="s">
        <v>206</v>
      </c>
      <c r="L74" s="79" t="s">
        <v>206</v>
      </c>
      <c r="M74" s="79" t="s">
        <v>248</v>
      </c>
      <c r="N74" s="79" t="s">
        <v>248</v>
      </c>
      <c r="O74" s="79" t="s">
        <v>247</v>
      </c>
      <c r="P74" s="79" t="s">
        <v>247</v>
      </c>
      <c r="Q74" s="79" t="s">
        <v>247</v>
      </c>
      <c r="R74" s="79" t="s">
        <v>247</v>
      </c>
      <c r="S74" s="79" t="s">
        <v>247</v>
      </c>
      <c r="T74" s="79" t="s">
        <v>247</v>
      </c>
      <c r="U74" s="79" t="s">
        <v>247</v>
      </c>
      <c r="V74" s="79" t="s">
        <v>247</v>
      </c>
      <c r="W74" s="79" t="s">
        <v>252</v>
      </c>
      <c r="X74" s="79" t="s">
        <v>252</v>
      </c>
      <c r="Y74" s="79" t="s">
        <v>251</v>
      </c>
      <c r="Z74" s="79" t="s">
        <v>251</v>
      </c>
      <c r="AA74" s="79" t="s">
        <v>251</v>
      </c>
      <c r="AB74" s="79" t="s">
        <v>204</v>
      </c>
      <c r="AC74" s="79" t="s">
        <v>204</v>
      </c>
      <c r="AD74" s="79" t="s">
        <v>204</v>
      </c>
      <c r="AE74" s="79" t="s">
        <v>204</v>
      </c>
      <c r="AF74" s="79" t="s">
        <v>204</v>
      </c>
      <c r="AG74" s="79" t="s">
        <v>204</v>
      </c>
      <c r="AH74" s="79" t="s">
        <v>258</v>
      </c>
      <c r="AI74" s="79" t="s">
        <v>257</v>
      </c>
      <c r="AJ74" s="79" t="s">
        <v>257</v>
      </c>
      <c r="AK74" s="79" t="s">
        <v>257</v>
      </c>
      <c r="AL74" s="79" t="s">
        <v>214</v>
      </c>
      <c r="AM74" s="79" t="s">
        <v>214</v>
      </c>
      <c r="AN74" s="79" t="s">
        <v>214</v>
      </c>
      <c r="AO74" s="79" t="s">
        <v>214</v>
      </c>
      <c r="AP74" s="79" t="s">
        <v>214</v>
      </c>
      <c r="AQ74" s="79" t="s">
        <v>214</v>
      </c>
      <c r="AR74" s="79" t="s">
        <v>264</v>
      </c>
      <c r="AS74" s="79" t="s">
        <v>263</v>
      </c>
      <c r="AT74" s="79" t="s">
        <v>263</v>
      </c>
      <c r="AU74" s="79" t="s">
        <v>263</v>
      </c>
      <c r="AV74" s="79" t="s">
        <v>219</v>
      </c>
      <c r="AW74" s="79" t="s">
        <v>219</v>
      </c>
      <c r="AX74" s="79" t="s">
        <v>219</v>
      </c>
      <c r="AY74" s="79" t="s">
        <v>219</v>
      </c>
      <c r="AZ74" s="79" t="s">
        <v>219</v>
      </c>
      <c r="BA74" s="79" t="s">
        <v>219</v>
      </c>
      <c r="BB74" s="79" t="s">
        <v>269</v>
      </c>
      <c r="BC74" s="79" t="s">
        <v>268</v>
      </c>
      <c r="BD74" s="79" t="s">
        <v>268</v>
      </c>
      <c r="BE74" s="79" t="s">
        <v>268</v>
      </c>
      <c r="BF74" s="79" t="s">
        <v>225</v>
      </c>
      <c r="BG74" s="79" t="s">
        <v>225</v>
      </c>
      <c r="BH74" s="79" t="s">
        <v>225</v>
      </c>
      <c r="BI74" s="79" t="s">
        <v>225</v>
      </c>
      <c r="BJ74" s="79" t="s">
        <v>225</v>
      </c>
      <c r="BK74" s="79" t="s">
        <v>271</v>
      </c>
      <c r="BL74" s="79" t="s">
        <v>271</v>
      </c>
      <c r="BM74" s="79" t="s">
        <v>272</v>
      </c>
      <c r="BN74" s="79" t="s">
        <v>272</v>
      </c>
      <c r="BO74" s="79" t="s">
        <v>272</v>
      </c>
      <c r="BP74" s="79" t="s">
        <v>231</v>
      </c>
      <c r="BQ74" s="79" t="s">
        <v>231</v>
      </c>
      <c r="BR74" s="79" t="s">
        <v>231</v>
      </c>
      <c r="BS74" s="79" t="s">
        <v>231</v>
      </c>
      <c r="BT74" s="79" t="s">
        <v>231</v>
      </c>
    </row>
    <row r="75" spans="2:72" x14ac:dyDescent="0.3">
      <c r="B75" s="79">
        <f t="shared" si="3"/>
        <v>184</v>
      </c>
      <c r="C75" s="79" t="s">
        <v>241</v>
      </c>
      <c r="D75" s="79" t="s">
        <v>241</v>
      </c>
      <c r="E75" s="79" t="s">
        <v>241</v>
      </c>
      <c r="F75" s="79" t="s">
        <v>206</v>
      </c>
      <c r="G75" s="79" t="s">
        <v>206</v>
      </c>
      <c r="H75" s="79" t="s">
        <v>206</v>
      </c>
      <c r="I75" s="79" t="s">
        <v>206</v>
      </c>
      <c r="J75" s="79" t="s">
        <v>206</v>
      </c>
      <c r="K75" s="79" t="s">
        <v>206</v>
      </c>
      <c r="L75" s="79" t="s">
        <v>206</v>
      </c>
      <c r="M75" s="79" t="s">
        <v>246</v>
      </c>
      <c r="N75" s="79" t="s">
        <v>248</v>
      </c>
      <c r="O75" s="79" t="s">
        <v>248</v>
      </c>
      <c r="P75" s="79" t="s">
        <v>247</v>
      </c>
      <c r="Q75" s="79" t="s">
        <v>247</v>
      </c>
      <c r="R75" s="79" t="s">
        <v>247</v>
      </c>
      <c r="S75" s="79" t="s">
        <v>247</v>
      </c>
      <c r="T75" s="79" t="s">
        <v>247</v>
      </c>
      <c r="U75" s="79" t="s">
        <v>247</v>
      </c>
      <c r="V75" s="79" t="s">
        <v>247</v>
      </c>
      <c r="W75" s="79" t="s">
        <v>252</v>
      </c>
      <c r="X75" s="79" t="s">
        <v>252</v>
      </c>
      <c r="Y75" s="79" t="s">
        <v>252</v>
      </c>
      <c r="Z75" s="79" t="s">
        <v>251</v>
      </c>
      <c r="AA75" s="79" t="s">
        <v>251</v>
      </c>
      <c r="AB75" s="79" t="s">
        <v>251</v>
      </c>
      <c r="AC75" s="79" t="s">
        <v>204</v>
      </c>
      <c r="AD75" s="79" t="s">
        <v>204</v>
      </c>
      <c r="AE75" s="79" t="s">
        <v>204</v>
      </c>
      <c r="AF75" s="79" t="s">
        <v>204</v>
      </c>
      <c r="AG75" s="79" t="s">
        <v>204</v>
      </c>
      <c r="AH75" s="79" t="s">
        <v>258</v>
      </c>
      <c r="AI75" s="79" t="s">
        <v>258</v>
      </c>
      <c r="AJ75" s="79" t="s">
        <v>257</v>
      </c>
      <c r="AK75" s="79" t="s">
        <v>257</v>
      </c>
      <c r="AL75" s="79" t="s">
        <v>257</v>
      </c>
      <c r="AM75" s="79" t="s">
        <v>214</v>
      </c>
      <c r="AN75" s="79" t="s">
        <v>214</v>
      </c>
      <c r="AO75" s="79" t="s">
        <v>214</v>
      </c>
      <c r="AP75" s="79" t="s">
        <v>214</v>
      </c>
      <c r="AQ75" s="79" t="s">
        <v>214</v>
      </c>
      <c r="AR75" s="79" t="s">
        <v>260</v>
      </c>
      <c r="AS75" s="79" t="s">
        <v>264</v>
      </c>
      <c r="AT75" s="79" t="s">
        <v>263</v>
      </c>
      <c r="AU75" s="79" t="s">
        <v>263</v>
      </c>
      <c r="AV75" s="79" t="s">
        <v>263</v>
      </c>
      <c r="AW75" s="79" t="s">
        <v>263</v>
      </c>
      <c r="AX75" s="79" t="s">
        <v>219</v>
      </c>
      <c r="AY75" s="79" t="s">
        <v>219</v>
      </c>
      <c r="AZ75" s="79" t="s">
        <v>219</v>
      </c>
      <c r="BA75" s="79" t="s">
        <v>219</v>
      </c>
      <c r="BB75" s="79" t="s">
        <v>269</v>
      </c>
      <c r="BC75" s="79" t="s">
        <v>269</v>
      </c>
      <c r="BD75" s="79" t="s">
        <v>268</v>
      </c>
      <c r="BE75" s="79" t="s">
        <v>268</v>
      </c>
      <c r="BF75" s="79" t="s">
        <v>268</v>
      </c>
      <c r="BG75" s="79" t="s">
        <v>268</v>
      </c>
      <c r="BH75" s="79" t="s">
        <v>225</v>
      </c>
      <c r="BI75" s="79" t="s">
        <v>225</v>
      </c>
      <c r="BJ75" s="79" t="s">
        <v>225</v>
      </c>
      <c r="BK75" s="79" t="s">
        <v>271</v>
      </c>
      <c r="BL75" s="79" t="s">
        <v>271</v>
      </c>
      <c r="BM75" s="79" t="s">
        <v>271</v>
      </c>
      <c r="BN75" s="79" t="s">
        <v>272</v>
      </c>
      <c r="BO75" s="79" t="s">
        <v>272</v>
      </c>
      <c r="BP75" s="79" t="s">
        <v>272</v>
      </c>
      <c r="BQ75" s="79" t="s">
        <v>272</v>
      </c>
      <c r="BR75" s="79" t="s">
        <v>231</v>
      </c>
      <c r="BS75" s="79" t="s">
        <v>231</v>
      </c>
      <c r="BT75" s="79" t="s">
        <v>231</v>
      </c>
    </row>
    <row r="76" spans="2:72" x14ac:dyDescent="0.3">
      <c r="B76" s="79">
        <f t="shared" si="3"/>
        <v>186</v>
      </c>
      <c r="C76" s="79" t="s">
        <v>241</v>
      </c>
      <c r="D76" s="79" t="s">
        <v>241</v>
      </c>
      <c r="E76" s="79" t="s">
        <v>241</v>
      </c>
      <c r="F76" s="79" t="s">
        <v>246</v>
      </c>
      <c r="G76" s="79" t="s">
        <v>206</v>
      </c>
      <c r="H76" s="79" t="s">
        <v>206</v>
      </c>
      <c r="I76" s="79" t="s">
        <v>206</v>
      </c>
      <c r="J76" s="79" t="s">
        <v>206</v>
      </c>
      <c r="K76" s="79" t="s">
        <v>206</v>
      </c>
      <c r="L76" s="79" t="s">
        <v>206</v>
      </c>
      <c r="M76" s="79" t="s">
        <v>246</v>
      </c>
      <c r="N76" s="79" t="s">
        <v>248</v>
      </c>
      <c r="O76" s="79" t="s">
        <v>248</v>
      </c>
      <c r="P76" s="79" t="s">
        <v>248</v>
      </c>
      <c r="Q76" s="79" t="s">
        <v>247</v>
      </c>
      <c r="R76" s="79" t="s">
        <v>247</v>
      </c>
      <c r="S76" s="79" t="s">
        <v>247</v>
      </c>
      <c r="T76" s="79" t="s">
        <v>247</v>
      </c>
      <c r="U76" s="79" t="s">
        <v>247</v>
      </c>
      <c r="V76" s="79" t="s">
        <v>252</v>
      </c>
      <c r="W76" s="79" t="s">
        <v>252</v>
      </c>
      <c r="X76" s="79" t="s">
        <v>252</v>
      </c>
      <c r="Y76" s="79" t="s">
        <v>252</v>
      </c>
      <c r="Z76" s="79" t="s">
        <v>252</v>
      </c>
      <c r="AA76" s="79" t="s">
        <v>251</v>
      </c>
      <c r="AB76" s="79" t="s">
        <v>251</v>
      </c>
      <c r="AC76" s="79" t="s">
        <v>251</v>
      </c>
      <c r="AD76" s="79" t="s">
        <v>204</v>
      </c>
      <c r="AE76" s="79" t="s">
        <v>204</v>
      </c>
      <c r="AF76" s="79" t="s">
        <v>204</v>
      </c>
      <c r="AG76" s="79" t="s">
        <v>204</v>
      </c>
      <c r="AH76" s="79" t="s">
        <v>258</v>
      </c>
      <c r="AI76" s="79" t="s">
        <v>258</v>
      </c>
      <c r="AJ76" s="79" t="s">
        <v>258</v>
      </c>
      <c r="AK76" s="79" t="s">
        <v>257</v>
      </c>
      <c r="AL76" s="79" t="s">
        <v>257</v>
      </c>
      <c r="AM76" s="79" t="s">
        <v>257</v>
      </c>
      <c r="AN76" s="79" t="s">
        <v>257</v>
      </c>
      <c r="AO76" s="79" t="s">
        <v>214</v>
      </c>
      <c r="AP76" s="79" t="s">
        <v>214</v>
      </c>
      <c r="AQ76" s="79" t="s">
        <v>214</v>
      </c>
      <c r="AR76" s="79" t="s">
        <v>260</v>
      </c>
      <c r="AS76" s="79" t="s">
        <v>260</v>
      </c>
      <c r="AT76" s="79" t="s">
        <v>264</v>
      </c>
      <c r="AU76" s="79" t="s">
        <v>264</v>
      </c>
      <c r="AV76" s="79" t="s">
        <v>263</v>
      </c>
      <c r="AW76" s="79" t="s">
        <v>263</v>
      </c>
      <c r="AX76" s="79" t="s">
        <v>263</v>
      </c>
      <c r="AY76" s="79" t="s">
        <v>219</v>
      </c>
      <c r="AZ76" s="79" t="s">
        <v>219</v>
      </c>
      <c r="BA76" s="79" t="s">
        <v>264</v>
      </c>
      <c r="BB76" s="79" t="s">
        <v>269</v>
      </c>
      <c r="BC76" s="79" t="s">
        <v>269</v>
      </c>
      <c r="BD76" s="79" t="s">
        <v>269</v>
      </c>
      <c r="BE76" s="79" t="s">
        <v>269</v>
      </c>
      <c r="BF76" s="79" t="s">
        <v>268</v>
      </c>
      <c r="BG76" s="79" t="s">
        <v>268</v>
      </c>
      <c r="BH76" s="79" t="s">
        <v>268</v>
      </c>
      <c r="BI76" s="79" t="s">
        <v>269</v>
      </c>
      <c r="BJ76" s="79" t="s">
        <v>225</v>
      </c>
      <c r="BK76" s="79" t="s">
        <v>271</v>
      </c>
      <c r="BL76" s="79" t="s">
        <v>271</v>
      </c>
      <c r="BM76" s="79" t="s">
        <v>271</v>
      </c>
      <c r="BN76" s="79" t="s">
        <v>271</v>
      </c>
      <c r="BO76" s="79" t="s">
        <v>271</v>
      </c>
      <c r="BP76" s="79" t="s">
        <v>272</v>
      </c>
      <c r="BQ76" s="79" t="s">
        <v>272</v>
      </c>
      <c r="BR76" s="79" t="s">
        <v>272</v>
      </c>
      <c r="BS76" s="79" t="s">
        <v>272</v>
      </c>
      <c r="BT76" s="79" t="s">
        <v>231</v>
      </c>
    </row>
    <row r="77" spans="2:72" x14ac:dyDescent="0.3">
      <c r="B77" s="79">
        <f t="shared" si="3"/>
        <v>188</v>
      </c>
      <c r="C77" s="79" t="s">
        <v>241</v>
      </c>
      <c r="D77" s="79" t="s">
        <v>241</v>
      </c>
      <c r="E77" s="79" t="s">
        <v>241</v>
      </c>
      <c r="F77" s="79" t="s">
        <v>241</v>
      </c>
      <c r="G77" s="79" t="s">
        <v>246</v>
      </c>
      <c r="H77" s="79" t="s">
        <v>206</v>
      </c>
      <c r="I77" s="79" t="s">
        <v>206</v>
      </c>
      <c r="J77" s="79" t="s">
        <v>206</v>
      </c>
      <c r="K77" s="79" t="s">
        <v>206</v>
      </c>
      <c r="L77" s="79" t="s">
        <v>206</v>
      </c>
      <c r="M77" s="79" t="s">
        <v>246</v>
      </c>
      <c r="N77" s="79" t="s">
        <v>246</v>
      </c>
      <c r="O77" s="79" t="s">
        <v>248</v>
      </c>
      <c r="P77" s="79" t="s">
        <v>248</v>
      </c>
      <c r="Q77" s="79" t="s">
        <v>248</v>
      </c>
      <c r="R77" s="79" t="s">
        <v>247</v>
      </c>
      <c r="S77" s="79" t="s">
        <v>247</v>
      </c>
      <c r="T77" s="79" t="s">
        <v>247</v>
      </c>
      <c r="U77" s="79" t="s">
        <v>247</v>
      </c>
      <c r="V77" s="79" t="s">
        <v>248</v>
      </c>
      <c r="W77" s="79" t="s">
        <v>252</v>
      </c>
      <c r="X77" s="79" t="s">
        <v>252</v>
      </c>
      <c r="Y77" s="79" t="s">
        <v>252</v>
      </c>
      <c r="Z77" s="79" t="s">
        <v>252</v>
      </c>
      <c r="AA77" s="79" t="s">
        <v>252</v>
      </c>
      <c r="AB77" s="79" t="s">
        <v>252</v>
      </c>
      <c r="AC77" s="79" t="s">
        <v>251</v>
      </c>
      <c r="AD77" s="79" t="s">
        <v>251</v>
      </c>
      <c r="AE77" s="79" t="s">
        <v>251</v>
      </c>
      <c r="AF77" s="79" t="s">
        <v>204</v>
      </c>
      <c r="AG77" s="79" t="s">
        <v>204</v>
      </c>
      <c r="AH77" s="79" t="s">
        <v>258</v>
      </c>
      <c r="AI77" s="79" t="s">
        <v>258</v>
      </c>
      <c r="AJ77" s="79" t="s">
        <v>258</v>
      </c>
      <c r="AK77" s="79" t="s">
        <v>258</v>
      </c>
      <c r="AL77" s="79" t="s">
        <v>258</v>
      </c>
      <c r="AM77" s="79" t="s">
        <v>257</v>
      </c>
      <c r="AN77" s="79" t="s">
        <v>257</v>
      </c>
      <c r="AO77" s="79" t="s">
        <v>260</v>
      </c>
      <c r="AP77" s="79" t="s">
        <v>214</v>
      </c>
      <c r="AQ77" s="79" t="s">
        <v>214</v>
      </c>
      <c r="AR77" s="79" t="s">
        <v>260</v>
      </c>
      <c r="AS77" s="79" t="s">
        <v>260</v>
      </c>
      <c r="AT77" s="79" t="s">
        <v>260</v>
      </c>
      <c r="AU77" s="79" t="s">
        <v>260</v>
      </c>
      <c r="AV77" s="79" t="s">
        <v>264</v>
      </c>
      <c r="AW77" s="79" t="s">
        <v>263</v>
      </c>
      <c r="AX77" s="79" t="s">
        <v>263</v>
      </c>
      <c r="AY77" s="79" t="s">
        <v>264</v>
      </c>
      <c r="AZ77" s="79" t="s">
        <v>264</v>
      </c>
      <c r="BA77" s="79" t="s">
        <v>264</v>
      </c>
      <c r="BB77" s="79" t="s">
        <v>264</v>
      </c>
      <c r="BC77" s="79" t="s">
        <v>264</v>
      </c>
      <c r="BD77" s="79" t="s">
        <v>269</v>
      </c>
      <c r="BE77" s="79" t="s">
        <v>269</v>
      </c>
      <c r="BF77" s="79" t="s">
        <v>269</v>
      </c>
      <c r="BG77" s="79" t="s">
        <v>268</v>
      </c>
      <c r="BH77" s="79" t="s">
        <v>268</v>
      </c>
      <c r="BI77" s="79" t="s">
        <v>269</v>
      </c>
      <c r="BJ77" s="79" t="s">
        <v>269</v>
      </c>
      <c r="BK77" s="79" t="s">
        <v>269</v>
      </c>
      <c r="BL77" s="79" t="s">
        <v>271</v>
      </c>
      <c r="BM77" s="79" t="s">
        <v>271</v>
      </c>
      <c r="BN77" s="79" t="s">
        <v>271</v>
      </c>
      <c r="BO77" s="79" t="s">
        <v>271</v>
      </c>
      <c r="BP77" s="79" t="s">
        <v>271</v>
      </c>
      <c r="BQ77" s="79" t="s">
        <v>271</v>
      </c>
      <c r="BR77" s="79" t="s">
        <v>271</v>
      </c>
      <c r="BS77" s="79" t="s">
        <v>271</v>
      </c>
      <c r="BT77" s="79" t="s">
        <v>272</v>
      </c>
    </row>
    <row r="78" spans="2:72" x14ac:dyDescent="0.3">
      <c r="B78" s="79">
        <f t="shared" si="3"/>
        <v>190</v>
      </c>
      <c r="C78" s="79" t="s">
        <v>241</v>
      </c>
      <c r="D78" s="79" t="s">
        <v>241</v>
      </c>
      <c r="E78" s="79" t="s">
        <v>241</v>
      </c>
      <c r="F78" s="79" t="s">
        <v>241</v>
      </c>
      <c r="G78" s="79" t="s">
        <v>241</v>
      </c>
      <c r="H78" s="79" t="s">
        <v>246</v>
      </c>
      <c r="I78" s="79" t="s">
        <v>206</v>
      </c>
      <c r="J78" s="79" t="s">
        <v>206</v>
      </c>
      <c r="K78" s="79" t="s">
        <v>206</v>
      </c>
      <c r="L78" s="79" t="s">
        <v>206</v>
      </c>
      <c r="M78" s="79" t="s">
        <v>246</v>
      </c>
      <c r="N78" s="79" t="s">
        <v>246</v>
      </c>
      <c r="O78" s="79" t="s">
        <v>246</v>
      </c>
      <c r="P78" s="79" t="s">
        <v>248</v>
      </c>
      <c r="Q78" s="79" t="s">
        <v>248</v>
      </c>
      <c r="R78" s="79" t="s">
        <v>248</v>
      </c>
      <c r="S78" s="79" t="s">
        <v>247</v>
      </c>
      <c r="T78" s="79" t="s">
        <v>247</v>
      </c>
      <c r="U78" s="79" t="s">
        <v>247</v>
      </c>
      <c r="V78" s="79" t="s">
        <v>248</v>
      </c>
      <c r="W78" s="79" t="s">
        <v>248</v>
      </c>
      <c r="X78" s="79" t="s">
        <v>252</v>
      </c>
      <c r="Y78" s="79" t="s">
        <v>252</v>
      </c>
      <c r="Z78" s="79" t="s">
        <v>252</v>
      </c>
      <c r="AA78" s="79" t="s">
        <v>252</v>
      </c>
      <c r="AB78" s="79" t="s">
        <v>252</v>
      </c>
      <c r="AC78" s="79" t="s">
        <v>252</v>
      </c>
      <c r="AD78" s="79" t="s">
        <v>251</v>
      </c>
      <c r="AE78" s="79" t="s">
        <v>251</v>
      </c>
      <c r="AF78" s="79" t="s">
        <v>252</v>
      </c>
      <c r="AG78" s="79" t="s">
        <v>204</v>
      </c>
      <c r="AH78" s="79" t="s">
        <v>258</v>
      </c>
      <c r="AI78" s="79" t="s">
        <v>258</v>
      </c>
      <c r="AJ78" s="79" t="s">
        <v>258</v>
      </c>
      <c r="AK78" s="79" t="s">
        <v>258</v>
      </c>
      <c r="AL78" s="79" t="s">
        <v>258</v>
      </c>
      <c r="AM78" s="79" t="s">
        <v>258</v>
      </c>
      <c r="AN78" s="79" t="s">
        <v>257</v>
      </c>
      <c r="AO78" s="79" t="s">
        <v>260</v>
      </c>
      <c r="AP78" s="79" t="s">
        <v>260</v>
      </c>
      <c r="AQ78" s="79" t="s">
        <v>260</v>
      </c>
      <c r="AR78" s="79" t="s">
        <v>260</v>
      </c>
      <c r="AS78" s="79" t="s">
        <v>260</v>
      </c>
      <c r="AT78" s="79" t="s">
        <v>260</v>
      </c>
      <c r="AU78" s="79" t="s">
        <v>260</v>
      </c>
      <c r="AV78" s="79" t="s">
        <v>260</v>
      </c>
      <c r="AW78" s="79" t="s">
        <v>264</v>
      </c>
      <c r="AX78" s="79" t="s">
        <v>263</v>
      </c>
      <c r="AY78" s="79" t="s">
        <v>264</v>
      </c>
      <c r="AZ78" s="79" t="s">
        <v>264</v>
      </c>
      <c r="BA78" s="79" t="s">
        <v>264</v>
      </c>
      <c r="BB78" s="79" t="s">
        <v>264</v>
      </c>
      <c r="BC78" s="79" t="s">
        <v>264</v>
      </c>
      <c r="BD78" s="79" t="s">
        <v>264</v>
      </c>
      <c r="BE78" s="79" t="s">
        <v>269</v>
      </c>
      <c r="BF78" s="79" t="s">
        <v>269</v>
      </c>
      <c r="BG78" s="79" t="s">
        <v>269</v>
      </c>
      <c r="BH78" s="79" t="s">
        <v>269</v>
      </c>
      <c r="BI78" s="79" t="s">
        <v>269</v>
      </c>
      <c r="BJ78" s="79" t="s">
        <v>269</v>
      </c>
      <c r="BK78" s="79" t="s">
        <v>269</v>
      </c>
      <c r="BL78" s="79" t="s">
        <v>269</v>
      </c>
      <c r="BM78" s="79" t="s">
        <v>271</v>
      </c>
      <c r="BN78" s="79" t="s">
        <v>271</v>
      </c>
      <c r="BO78" s="79" t="s">
        <v>271</v>
      </c>
      <c r="BP78" s="79" t="s">
        <v>271</v>
      </c>
      <c r="BQ78" s="79" t="s">
        <v>271</v>
      </c>
      <c r="BR78" s="79" t="s">
        <v>271</v>
      </c>
      <c r="BS78" s="79" t="s">
        <v>271</v>
      </c>
      <c r="BT78" s="79" t="s">
        <v>271</v>
      </c>
    </row>
    <row r="79" spans="2:72" x14ac:dyDescent="0.3">
      <c r="B79" s="79">
        <f t="shared" si="3"/>
        <v>192</v>
      </c>
      <c r="C79" s="79" t="s">
        <v>241</v>
      </c>
      <c r="D79" s="79" t="s">
        <v>241</v>
      </c>
      <c r="E79" s="79" t="s">
        <v>241</v>
      </c>
      <c r="F79" s="79" t="s">
        <v>241</v>
      </c>
      <c r="G79" s="79" t="s">
        <v>241</v>
      </c>
      <c r="H79" s="79" t="s">
        <v>241</v>
      </c>
      <c r="I79" s="79" t="s">
        <v>246</v>
      </c>
      <c r="J79" s="79" t="s">
        <v>206</v>
      </c>
      <c r="K79" s="79" t="s">
        <v>206</v>
      </c>
      <c r="L79" s="79" t="s">
        <v>246</v>
      </c>
      <c r="M79" s="79" t="s">
        <v>246</v>
      </c>
      <c r="N79" s="79" t="s">
        <v>246</v>
      </c>
      <c r="O79" s="79" t="s">
        <v>246</v>
      </c>
      <c r="P79" s="79" t="s">
        <v>246</v>
      </c>
      <c r="Q79" s="79" t="s">
        <v>248</v>
      </c>
      <c r="R79" s="79" t="s">
        <v>248</v>
      </c>
      <c r="S79" s="79" t="s">
        <v>248</v>
      </c>
      <c r="T79" s="79" t="s">
        <v>247</v>
      </c>
      <c r="U79" s="79" t="s">
        <v>247</v>
      </c>
      <c r="V79" s="79" t="s">
        <v>248</v>
      </c>
      <c r="W79" s="79" t="s">
        <v>248</v>
      </c>
      <c r="X79" s="79" t="s">
        <v>248</v>
      </c>
      <c r="Y79" s="79" t="s">
        <v>248</v>
      </c>
      <c r="Z79" s="79" t="s">
        <v>252</v>
      </c>
      <c r="AA79" s="79" t="s">
        <v>252</v>
      </c>
      <c r="AB79" s="79" t="s">
        <v>252</v>
      </c>
      <c r="AC79" s="79" t="s">
        <v>252</v>
      </c>
      <c r="AD79" s="79" t="s">
        <v>252</v>
      </c>
      <c r="AE79" s="79" t="s">
        <v>251</v>
      </c>
      <c r="AF79" s="79" t="s">
        <v>252</v>
      </c>
      <c r="AG79" s="79" t="s">
        <v>252</v>
      </c>
      <c r="AH79" s="79" t="s">
        <v>258</v>
      </c>
      <c r="AI79" s="79" t="s">
        <v>258</v>
      </c>
      <c r="AJ79" s="79" t="s">
        <v>258</v>
      </c>
      <c r="AK79" s="79" t="s">
        <v>258</v>
      </c>
      <c r="AL79" s="79" t="s">
        <v>258</v>
      </c>
      <c r="AM79" s="79" t="s">
        <v>258</v>
      </c>
      <c r="AN79" s="79" t="s">
        <v>258</v>
      </c>
      <c r="AO79" s="79" t="s">
        <v>258</v>
      </c>
      <c r="AP79" s="79" t="s">
        <v>260</v>
      </c>
      <c r="AQ79" s="79" t="s">
        <v>260</v>
      </c>
      <c r="AR79" s="79" t="s">
        <v>260</v>
      </c>
      <c r="AS79" s="79" t="s">
        <v>260</v>
      </c>
      <c r="AT79" s="79" t="s">
        <v>260</v>
      </c>
      <c r="AU79" s="79" t="s">
        <v>260</v>
      </c>
      <c r="AV79" s="79" t="s">
        <v>260</v>
      </c>
      <c r="AW79" s="79" t="s">
        <v>260</v>
      </c>
      <c r="AX79" s="79" t="s">
        <v>264</v>
      </c>
      <c r="AY79" s="79" t="s">
        <v>264</v>
      </c>
      <c r="AZ79" s="79" t="s">
        <v>264</v>
      </c>
      <c r="BA79" s="79" t="s">
        <v>264</v>
      </c>
      <c r="BB79" s="79" t="s">
        <v>264</v>
      </c>
      <c r="BC79" s="79" t="s">
        <v>264</v>
      </c>
      <c r="BD79" s="79" t="s">
        <v>264</v>
      </c>
      <c r="BE79" s="79" t="s">
        <v>264</v>
      </c>
      <c r="BF79" s="79" t="s">
        <v>269</v>
      </c>
      <c r="BG79" s="79" t="s">
        <v>269</v>
      </c>
      <c r="BH79" s="79" t="s">
        <v>269</v>
      </c>
      <c r="BI79" s="79" t="s">
        <v>269</v>
      </c>
      <c r="BJ79" s="79" t="s">
        <v>269</v>
      </c>
      <c r="BK79" s="79" t="s">
        <v>269</v>
      </c>
      <c r="BL79" s="79" t="s">
        <v>269</v>
      </c>
      <c r="BM79" s="79" t="s">
        <v>269</v>
      </c>
      <c r="BN79" s="79" t="s">
        <v>269</v>
      </c>
      <c r="BO79" s="79" t="s">
        <v>271</v>
      </c>
      <c r="BP79" s="79" t="s">
        <v>271</v>
      </c>
      <c r="BQ79" s="79" t="s">
        <v>271</v>
      </c>
      <c r="BR79" s="79" t="s">
        <v>271</v>
      </c>
      <c r="BS79" s="79" t="s">
        <v>271</v>
      </c>
      <c r="BT79" s="79" t="s">
        <v>271</v>
      </c>
    </row>
    <row r="80" spans="2:72" x14ac:dyDescent="0.3">
      <c r="B80" s="79">
        <f t="shared" si="3"/>
        <v>194</v>
      </c>
      <c r="C80" s="79" t="s">
        <v>241</v>
      </c>
      <c r="D80" s="79" t="s">
        <v>241</v>
      </c>
      <c r="E80" s="79" t="s">
        <v>241</v>
      </c>
      <c r="F80" s="79" t="s">
        <v>241</v>
      </c>
      <c r="G80" s="79" t="s">
        <v>241</v>
      </c>
      <c r="H80" s="79" t="s">
        <v>241</v>
      </c>
      <c r="I80" s="79" t="s">
        <v>241</v>
      </c>
      <c r="J80" s="79" t="s">
        <v>246</v>
      </c>
      <c r="K80" s="79" t="s">
        <v>206</v>
      </c>
      <c r="L80" s="79" t="s">
        <v>246</v>
      </c>
      <c r="M80" s="79" t="s">
        <v>246</v>
      </c>
      <c r="N80" s="79" t="s">
        <v>246</v>
      </c>
      <c r="O80" s="79" t="s">
        <v>246</v>
      </c>
      <c r="P80" s="79" t="s">
        <v>246</v>
      </c>
      <c r="Q80" s="79" t="s">
        <v>246</v>
      </c>
      <c r="R80" s="79" t="s">
        <v>248</v>
      </c>
      <c r="S80" s="79" t="s">
        <v>248</v>
      </c>
      <c r="T80" s="79" t="s">
        <v>248</v>
      </c>
      <c r="U80" s="79" t="s">
        <v>248</v>
      </c>
      <c r="V80" s="79" t="s">
        <v>248</v>
      </c>
      <c r="W80" s="79" t="s">
        <v>248</v>
      </c>
      <c r="X80" s="79" t="s">
        <v>248</v>
      </c>
      <c r="Y80" s="79" t="s">
        <v>248</v>
      </c>
      <c r="Z80" s="79" t="s">
        <v>248</v>
      </c>
      <c r="AA80" s="79" t="s">
        <v>252</v>
      </c>
      <c r="AB80" s="79" t="s">
        <v>252</v>
      </c>
      <c r="AC80" s="79" t="s">
        <v>252</v>
      </c>
      <c r="AD80" s="79" t="s">
        <v>252</v>
      </c>
      <c r="AE80" s="79" t="s">
        <v>252</v>
      </c>
      <c r="AF80" s="79" t="s">
        <v>252</v>
      </c>
      <c r="AG80" s="79" t="s">
        <v>252</v>
      </c>
      <c r="AH80" s="79" t="s">
        <v>252</v>
      </c>
      <c r="AI80" s="79" t="s">
        <v>258</v>
      </c>
      <c r="AJ80" s="79" t="s">
        <v>258</v>
      </c>
      <c r="AK80" s="79" t="s">
        <v>258</v>
      </c>
      <c r="AL80" s="79" t="s">
        <v>258</v>
      </c>
      <c r="AM80" s="79" t="s">
        <v>258</v>
      </c>
      <c r="AN80" s="79" t="s">
        <v>258</v>
      </c>
      <c r="AO80" s="79" t="s">
        <v>258</v>
      </c>
      <c r="AP80" s="79" t="s">
        <v>258</v>
      </c>
      <c r="AQ80" s="79" t="s">
        <v>260</v>
      </c>
      <c r="AR80" s="79" t="s">
        <v>260</v>
      </c>
      <c r="AS80" s="79" t="s">
        <v>260</v>
      </c>
      <c r="AT80" s="79" t="s">
        <v>260</v>
      </c>
      <c r="AU80" s="79" t="s">
        <v>260</v>
      </c>
      <c r="AV80" s="79" t="s">
        <v>260</v>
      </c>
      <c r="AW80" s="79" t="s">
        <v>260</v>
      </c>
      <c r="AX80" s="79" t="s">
        <v>260</v>
      </c>
      <c r="AY80" s="79" t="s">
        <v>260</v>
      </c>
      <c r="AZ80" s="79" t="s">
        <v>264</v>
      </c>
      <c r="BA80" s="79" t="s">
        <v>264</v>
      </c>
      <c r="BB80" s="79" t="s">
        <v>264</v>
      </c>
      <c r="BC80" s="79" t="s">
        <v>264</v>
      </c>
      <c r="BD80" s="79" t="s">
        <v>264</v>
      </c>
      <c r="BE80" s="79" t="s">
        <v>264</v>
      </c>
      <c r="BF80" s="79" t="s">
        <v>264</v>
      </c>
      <c r="BG80" s="79" t="s">
        <v>264</v>
      </c>
      <c r="BH80" s="79" t="s">
        <v>269</v>
      </c>
      <c r="BI80" s="79" t="s">
        <v>269</v>
      </c>
      <c r="BJ80" s="79" t="s">
        <v>269</v>
      </c>
      <c r="BK80" s="79" t="s">
        <v>269</v>
      </c>
      <c r="BL80" s="79" t="s">
        <v>269</v>
      </c>
      <c r="BM80" s="79" t="s">
        <v>269</v>
      </c>
      <c r="BN80" s="79" t="s">
        <v>269</v>
      </c>
      <c r="BO80" s="79" t="s">
        <v>269</v>
      </c>
      <c r="BP80" s="79" t="s">
        <v>271</v>
      </c>
      <c r="BQ80" s="79" t="s">
        <v>271</v>
      </c>
      <c r="BR80" s="79" t="s">
        <v>271</v>
      </c>
      <c r="BS80" s="79" t="s">
        <v>271</v>
      </c>
      <c r="BT80" s="79" t="s">
        <v>271</v>
      </c>
    </row>
    <row r="81" spans="2:72" x14ac:dyDescent="0.3">
      <c r="B81" s="79">
        <f>B80+2</f>
        <v>196</v>
      </c>
      <c r="C81" s="79" t="s">
        <v>241</v>
      </c>
      <c r="D81" s="79" t="s">
        <v>241</v>
      </c>
      <c r="E81" s="79" t="s">
        <v>241</v>
      </c>
      <c r="F81" s="79" t="s">
        <v>241</v>
      </c>
      <c r="G81" s="79" t="s">
        <v>241</v>
      </c>
      <c r="H81" s="79" t="s">
        <v>241</v>
      </c>
      <c r="I81" s="79" t="s">
        <v>241</v>
      </c>
      <c r="J81" s="79" t="s">
        <v>241</v>
      </c>
      <c r="K81" s="79" t="s">
        <v>246</v>
      </c>
      <c r="L81" s="79" t="s">
        <v>246</v>
      </c>
      <c r="M81" s="79" t="s">
        <v>246</v>
      </c>
      <c r="N81" s="79" t="s">
        <v>246</v>
      </c>
      <c r="O81" s="79" t="s">
        <v>246</v>
      </c>
      <c r="P81" s="79" t="s">
        <v>246</v>
      </c>
      <c r="Q81" s="79" t="s">
        <v>246</v>
      </c>
      <c r="R81" s="79" t="s">
        <v>246</v>
      </c>
      <c r="S81" s="79" t="s">
        <v>248</v>
      </c>
      <c r="T81" s="79" t="s">
        <v>248</v>
      </c>
      <c r="U81" s="79" t="s">
        <v>248</v>
      </c>
      <c r="V81" s="79" t="s">
        <v>248</v>
      </c>
      <c r="W81" s="79" t="s">
        <v>248</v>
      </c>
      <c r="X81" s="79" t="s">
        <v>248</v>
      </c>
      <c r="Y81" s="79" t="s">
        <v>248</v>
      </c>
      <c r="Z81" s="79" t="s">
        <v>248</v>
      </c>
      <c r="AA81" s="79" t="s">
        <v>248</v>
      </c>
      <c r="AB81" s="79" t="s">
        <v>252</v>
      </c>
      <c r="AC81" s="79" t="s">
        <v>252</v>
      </c>
      <c r="AD81" s="79" t="s">
        <v>252</v>
      </c>
      <c r="AE81" s="79" t="s">
        <v>252</v>
      </c>
      <c r="AF81" s="79" t="s">
        <v>252</v>
      </c>
      <c r="AG81" s="79" t="s">
        <v>252</v>
      </c>
      <c r="AH81" s="79" t="s">
        <v>252</v>
      </c>
      <c r="AI81" s="79" t="s">
        <v>252</v>
      </c>
      <c r="AJ81" s="79" t="s">
        <v>258</v>
      </c>
      <c r="AK81" s="79" t="s">
        <v>258</v>
      </c>
      <c r="AL81" s="79" t="s">
        <v>258</v>
      </c>
      <c r="AM81" s="79" t="s">
        <v>258</v>
      </c>
      <c r="AN81" s="79" t="s">
        <v>258</v>
      </c>
      <c r="AO81" s="79" t="s">
        <v>258</v>
      </c>
      <c r="AP81" s="79" t="s">
        <v>258</v>
      </c>
      <c r="AQ81" s="79" t="s">
        <v>258</v>
      </c>
      <c r="AR81" s="79" t="s">
        <v>260</v>
      </c>
      <c r="AS81" s="79" t="s">
        <v>260</v>
      </c>
      <c r="AT81" s="79" t="s">
        <v>260</v>
      </c>
      <c r="AU81" s="79" t="s">
        <v>260</v>
      </c>
      <c r="AV81" s="79" t="s">
        <v>260</v>
      </c>
      <c r="AW81" s="79" t="s">
        <v>260</v>
      </c>
      <c r="AX81" s="79" t="s">
        <v>260</v>
      </c>
      <c r="AY81" s="79" t="s">
        <v>260</v>
      </c>
      <c r="AZ81" s="79" t="s">
        <v>260</v>
      </c>
      <c r="BA81" s="79" t="s">
        <v>264</v>
      </c>
      <c r="BB81" s="79" t="s">
        <v>264</v>
      </c>
      <c r="BC81" s="79" t="s">
        <v>264</v>
      </c>
      <c r="BD81" s="79" t="s">
        <v>264</v>
      </c>
      <c r="BE81" s="79" t="s">
        <v>264</v>
      </c>
      <c r="BF81" s="79" t="s">
        <v>264</v>
      </c>
      <c r="BG81" s="79" t="s">
        <v>264</v>
      </c>
      <c r="BH81" s="79" t="s">
        <v>264</v>
      </c>
      <c r="BI81" s="79" t="s">
        <v>269</v>
      </c>
      <c r="BJ81" s="79" t="s">
        <v>269</v>
      </c>
      <c r="BK81" s="79" t="s">
        <v>269</v>
      </c>
      <c r="BL81" s="79" t="s">
        <v>269</v>
      </c>
      <c r="BM81" s="79" t="s">
        <v>269</v>
      </c>
      <c r="BN81" s="79" t="s">
        <v>269</v>
      </c>
      <c r="BO81" s="79" t="s">
        <v>269</v>
      </c>
      <c r="BP81" s="79" t="s">
        <v>269</v>
      </c>
      <c r="BQ81" s="79" t="s">
        <v>269</v>
      </c>
      <c r="BR81" s="79" t="s">
        <v>271</v>
      </c>
      <c r="BS81" s="79" t="s">
        <v>271</v>
      </c>
      <c r="BT81" s="79" t="s">
        <v>271</v>
      </c>
    </row>
    <row r="82" spans="2:72" x14ac:dyDescent="0.3">
      <c r="B82" s="79">
        <f t="shared" ref="B82:B133" si="4">B81+2</f>
        <v>198</v>
      </c>
      <c r="C82" s="79" t="s">
        <v>241</v>
      </c>
      <c r="D82" s="79" t="s">
        <v>241</v>
      </c>
      <c r="E82" s="79" t="s">
        <v>241</v>
      </c>
      <c r="F82" s="79" t="s">
        <v>241</v>
      </c>
      <c r="G82" s="79" t="s">
        <v>241</v>
      </c>
      <c r="H82" s="79" t="s">
        <v>241</v>
      </c>
      <c r="I82" s="79" t="s">
        <v>241</v>
      </c>
      <c r="J82" s="79" t="s">
        <v>241</v>
      </c>
      <c r="K82" s="79" t="s">
        <v>241</v>
      </c>
      <c r="L82" s="79" t="s">
        <v>246</v>
      </c>
      <c r="M82" s="79" t="s">
        <v>246</v>
      </c>
      <c r="N82" s="79" t="s">
        <v>246</v>
      </c>
      <c r="O82" s="79" t="s">
        <v>246</v>
      </c>
      <c r="P82" s="79" t="s">
        <v>246</v>
      </c>
      <c r="Q82" s="79" t="s">
        <v>246</v>
      </c>
      <c r="R82" s="79" t="s">
        <v>246</v>
      </c>
      <c r="S82" s="79" t="s">
        <v>246</v>
      </c>
      <c r="T82" s="79" t="s">
        <v>248</v>
      </c>
      <c r="U82" s="79" t="s">
        <v>248</v>
      </c>
      <c r="V82" s="79" t="s">
        <v>248</v>
      </c>
      <c r="W82" s="79" t="s">
        <v>248</v>
      </c>
      <c r="X82" s="79" t="s">
        <v>248</v>
      </c>
      <c r="Y82" s="79" t="s">
        <v>248</v>
      </c>
      <c r="Z82" s="79" t="s">
        <v>248</v>
      </c>
      <c r="AA82" s="79" t="s">
        <v>248</v>
      </c>
      <c r="AB82" s="79" t="s">
        <v>248</v>
      </c>
      <c r="AC82" s="79" t="s">
        <v>252</v>
      </c>
      <c r="AD82" s="79" t="s">
        <v>252</v>
      </c>
      <c r="AE82" s="79" t="s">
        <v>252</v>
      </c>
      <c r="AF82" s="79" t="s">
        <v>252</v>
      </c>
      <c r="AG82" s="79" t="s">
        <v>252</v>
      </c>
      <c r="AH82" s="79" t="s">
        <v>252</v>
      </c>
      <c r="AI82" s="79" t="s">
        <v>252</v>
      </c>
      <c r="AJ82" s="79" t="s">
        <v>252</v>
      </c>
      <c r="AK82" s="79" t="s">
        <v>258</v>
      </c>
      <c r="AL82" s="79" t="s">
        <v>258</v>
      </c>
      <c r="AM82" s="79" t="s">
        <v>258</v>
      </c>
      <c r="AN82" s="79" t="s">
        <v>258</v>
      </c>
      <c r="AO82" s="79" t="s">
        <v>258</v>
      </c>
      <c r="AP82" s="79" t="s">
        <v>258</v>
      </c>
      <c r="AQ82" s="79" t="s">
        <v>258</v>
      </c>
      <c r="AR82" s="79" t="s">
        <v>258</v>
      </c>
      <c r="AS82" s="79" t="s">
        <v>258</v>
      </c>
      <c r="AT82" s="79" t="s">
        <v>260</v>
      </c>
      <c r="AU82" s="79" t="s">
        <v>260</v>
      </c>
      <c r="AV82" s="79" t="s">
        <v>260</v>
      </c>
      <c r="AW82" s="79" t="s">
        <v>260</v>
      </c>
      <c r="AX82" s="79" t="s">
        <v>260</v>
      </c>
      <c r="AY82" s="79" t="s">
        <v>260</v>
      </c>
      <c r="AZ82" s="79" t="s">
        <v>260</v>
      </c>
      <c r="BA82" s="79" t="s">
        <v>260</v>
      </c>
      <c r="BB82" s="79" t="s">
        <v>264</v>
      </c>
      <c r="BC82" s="79" t="s">
        <v>264</v>
      </c>
      <c r="BD82" s="79" t="s">
        <v>264</v>
      </c>
      <c r="BE82" s="79" t="s">
        <v>264</v>
      </c>
      <c r="BF82" s="79" t="s">
        <v>264</v>
      </c>
      <c r="BG82" s="79" t="s">
        <v>264</v>
      </c>
      <c r="BH82" s="79" t="s">
        <v>264</v>
      </c>
      <c r="BI82" s="79" t="s">
        <v>264</v>
      </c>
      <c r="BJ82" s="79" t="s">
        <v>264</v>
      </c>
      <c r="BK82" s="79" t="s">
        <v>269</v>
      </c>
      <c r="BL82" s="79" t="s">
        <v>269</v>
      </c>
      <c r="BM82" s="79" t="s">
        <v>269</v>
      </c>
      <c r="BN82" s="79" t="s">
        <v>269</v>
      </c>
      <c r="BO82" s="79" t="s">
        <v>269</v>
      </c>
      <c r="BP82" s="79" t="s">
        <v>269</v>
      </c>
      <c r="BQ82" s="79" t="s">
        <v>269</v>
      </c>
      <c r="BR82" s="79" t="s">
        <v>269</v>
      </c>
      <c r="BS82" s="79" t="s">
        <v>271</v>
      </c>
      <c r="BT82" s="79" t="s">
        <v>271</v>
      </c>
    </row>
    <row r="83" spans="2:72" x14ac:dyDescent="0.3">
      <c r="B83" s="79">
        <f t="shared" si="4"/>
        <v>200</v>
      </c>
      <c r="C83" s="79" t="s">
        <v>242</v>
      </c>
      <c r="D83" s="79" t="s">
        <v>241</v>
      </c>
      <c r="E83" s="79" t="s">
        <v>241</v>
      </c>
      <c r="F83" s="79" t="s">
        <v>241</v>
      </c>
      <c r="G83" s="79" t="s">
        <v>241</v>
      </c>
      <c r="H83" s="79" t="s">
        <v>241</v>
      </c>
      <c r="I83" s="79" t="s">
        <v>241</v>
      </c>
      <c r="J83" s="79" t="s">
        <v>241</v>
      </c>
      <c r="K83" s="79" t="s">
        <v>241</v>
      </c>
      <c r="L83" s="79" t="s">
        <v>241</v>
      </c>
      <c r="M83" s="79" t="s">
        <v>246</v>
      </c>
      <c r="N83" s="79" t="s">
        <v>246</v>
      </c>
      <c r="O83" s="79" t="s">
        <v>246</v>
      </c>
      <c r="P83" s="79" t="s">
        <v>246</v>
      </c>
      <c r="Q83" s="79" t="s">
        <v>246</v>
      </c>
      <c r="R83" s="79" t="s">
        <v>246</v>
      </c>
      <c r="S83" s="79" t="s">
        <v>246</v>
      </c>
      <c r="T83" s="79" t="s">
        <v>246</v>
      </c>
      <c r="U83" s="79" t="s">
        <v>248</v>
      </c>
      <c r="V83" s="79" t="s">
        <v>248</v>
      </c>
      <c r="W83" s="79" t="s">
        <v>248</v>
      </c>
      <c r="X83" s="79" t="s">
        <v>248</v>
      </c>
      <c r="Y83" s="79" t="s">
        <v>248</v>
      </c>
      <c r="Z83" s="79" t="s">
        <v>248</v>
      </c>
      <c r="AA83" s="79" t="s">
        <v>248</v>
      </c>
      <c r="AB83" s="79" t="s">
        <v>248</v>
      </c>
      <c r="AC83" s="79" t="s">
        <v>248</v>
      </c>
      <c r="AD83" s="79" t="s">
        <v>252</v>
      </c>
      <c r="AE83" s="79" t="s">
        <v>252</v>
      </c>
      <c r="AF83" s="79" t="s">
        <v>252</v>
      </c>
      <c r="AG83" s="79" t="s">
        <v>252</v>
      </c>
      <c r="AH83" s="79" t="s">
        <v>252</v>
      </c>
      <c r="AI83" s="79" t="s">
        <v>252</v>
      </c>
      <c r="AJ83" s="79" t="s">
        <v>252</v>
      </c>
      <c r="AK83" s="79" t="s">
        <v>252</v>
      </c>
      <c r="AL83" s="79" t="s">
        <v>258</v>
      </c>
      <c r="AM83" s="79" t="s">
        <v>258</v>
      </c>
      <c r="AN83" s="79" t="s">
        <v>258</v>
      </c>
      <c r="AO83" s="79" t="s">
        <v>258</v>
      </c>
      <c r="AP83" s="79" t="s">
        <v>258</v>
      </c>
      <c r="AQ83" s="79" t="s">
        <v>258</v>
      </c>
      <c r="AR83" s="79" t="s">
        <v>258</v>
      </c>
      <c r="AS83" s="79" t="s">
        <v>258</v>
      </c>
      <c r="AT83" s="79" t="s">
        <v>258</v>
      </c>
      <c r="AU83" s="79" t="s">
        <v>260</v>
      </c>
      <c r="AV83" s="79" t="s">
        <v>260</v>
      </c>
      <c r="AW83" s="79" t="s">
        <v>260</v>
      </c>
      <c r="AX83" s="79" t="s">
        <v>260</v>
      </c>
      <c r="AY83" s="79" t="s">
        <v>260</v>
      </c>
      <c r="AZ83" s="79" t="s">
        <v>260</v>
      </c>
      <c r="BA83" s="79" t="s">
        <v>260</v>
      </c>
      <c r="BB83" s="79" t="s">
        <v>260</v>
      </c>
      <c r="BC83" s="79" t="s">
        <v>264</v>
      </c>
      <c r="BD83" s="79" t="s">
        <v>264</v>
      </c>
      <c r="BE83" s="79" t="s">
        <v>264</v>
      </c>
      <c r="BF83" s="79" t="s">
        <v>264</v>
      </c>
      <c r="BG83" s="79" t="s">
        <v>264</v>
      </c>
      <c r="BH83" s="79" t="s">
        <v>264</v>
      </c>
      <c r="BI83" s="79" t="s">
        <v>264</v>
      </c>
      <c r="BJ83" s="79" t="s">
        <v>264</v>
      </c>
      <c r="BK83" s="79" t="s">
        <v>264</v>
      </c>
      <c r="BL83" s="79" t="s">
        <v>269</v>
      </c>
      <c r="BM83" s="79" t="s">
        <v>269</v>
      </c>
      <c r="BN83" s="79" t="s">
        <v>269</v>
      </c>
      <c r="BO83" s="79" t="s">
        <v>269</v>
      </c>
      <c r="BP83" s="79" t="s">
        <v>269</v>
      </c>
      <c r="BQ83" s="79" t="s">
        <v>269</v>
      </c>
      <c r="BR83" s="79" t="s">
        <v>269</v>
      </c>
      <c r="BS83" s="79" t="s">
        <v>269</v>
      </c>
      <c r="BT83" s="79" t="s">
        <v>269</v>
      </c>
    </row>
    <row r="84" spans="2:72" x14ac:dyDescent="0.3">
      <c r="B84" s="79">
        <f t="shared" si="4"/>
        <v>202</v>
      </c>
      <c r="C84" s="79" t="s">
        <v>242</v>
      </c>
      <c r="D84" s="79" t="s">
        <v>242</v>
      </c>
      <c r="E84" s="79" t="s">
        <v>241</v>
      </c>
      <c r="F84" s="79" t="s">
        <v>241</v>
      </c>
      <c r="G84" s="79" t="s">
        <v>241</v>
      </c>
      <c r="H84" s="79" t="s">
        <v>241</v>
      </c>
      <c r="I84" s="79" t="s">
        <v>241</v>
      </c>
      <c r="J84" s="79" t="s">
        <v>241</v>
      </c>
      <c r="K84" s="79" t="s">
        <v>241</v>
      </c>
      <c r="L84" s="79" t="s">
        <v>241</v>
      </c>
      <c r="M84" s="79" t="s">
        <v>241</v>
      </c>
      <c r="N84" s="79" t="s">
        <v>246</v>
      </c>
      <c r="O84" s="79" t="s">
        <v>246</v>
      </c>
      <c r="P84" s="79" t="s">
        <v>246</v>
      </c>
      <c r="Q84" s="79" t="s">
        <v>246</v>
      </c>
      <c r="R84" s="79" t="s">
        <v>246</v>
      </c>
      <c r="S84" s="79" t="s">
        <v>246</v>
      </c>
      <c r="T84" s="79" t="s">
        <v>246</v>
      </c>
      <c r="U84" s="79" t="s">
        <v>246</v>
      </c>
      <c r="V84" s="79" t="s">
        <v>248</v>
      </c>
      <c r="W84" s="79" t="s">
        <v>248</v>
      </c>
      <c r="X84" s="79" t="s">
        <v>248</v>
      </c>
      <c r="Y84" s="79" t="s">
        <v>248</v>
      </c>
      <c r="Z84" s="79" t="s">
        <v>248</v>
      </c>
      <c r="AA84" s="79" t="s">
        <v>248</v>
      </c>
      <c r="AB84" s="79" t="s">
        <v>248</v>
      </c>
      <c r="AC84" s="79" t="s">
        <v>248</v>
      </c>
      <c r="AD84" s="79" t="s">
        <v>248</v>
      </c>
      <c r="AE84" s="79" t="s">
        <v>252</v>
      </c>
      <c r="AF84" s="79" t="s">
        <v>252</v>
      </c>
      <c r="AG84" s="79" t="s">
        <v>252</v>
      </c>
      <c r="AH84" s="79" t="s">
        <v>252</v>
      </c>
      <c r="AI84" s="79" t="s">
        <v>252</v>
      </c>
      <c r="AJ84" s="79" t="s">
        <v>252</v>
      </c>
      <c r="AK84" s="79" t="s">
        <v>252</v>
      </c>
      <c r="AL84" s="79" t="s">
        <v>252</v>
      </c>
      <c r="AM84" s="79" t="s">
        <v>258</v>
      </c>
      <c r="AN84" s="79" t="s">
        <v>258</v>
      </c>
      <c r="AO84" s="79" t="s">
        <v>258</v>
      </c>
      <c r="AP84" s="79" t="s">
        <v>258</v>
      </c>
      <c r="AQ84" s="79" t="s">
        <v>258</v>
      </c>
      <c r="AR84" s="79" t="s">
        <v>258</v>
      </c>
      <c r="AS84" s="79" t="s">
        <v>258</v>
      </c>
      <c r="AT84" s="79" t="s">
        <v>258</v>
      </c>
      <c r="AU84" s="79" t="s">
        <v>258</v>
      </c>
      <c r="AV84" s="79" t="s">
        <v>260</v>
      </c>
      <c r="AW84" s="79" t="s">
        <v>260</v>
      </c>
      <c r="AX84" s="79" t="s">
        <v>260</v>
      </c>
      <c r="AY84" s="79" t="s">
        <v>260</v>
      </c>
      <c r="AZ84" s="79" t="s">
        <v>260</v>
      </c>
      <c r="BA84" s="79" t="s">
        <v>260</v>
      </c>
      <c r="BB84" s="79" t="s">
        <v>260</v>
      </c>
      <c r="BC84" s="79" t="s">
        <v>260</v>
      </c>
      <c r="BD84" s="79" t="s">
        <v>260</v>
      </c>
      <c r="BE84" s="79" t="s">
        <v>264</v>
      </c>
      <c r="BF84" s="79" t="s">
        <v>264</v>
      </c>
      <c r="BG84" s="79" t="s">
        <v>264</v>
      </c>
      <c r="BH84" s="79" t="s">
        <v>264</v>
      </c>
      <c r="BI84" s="79" t="s">
        <v>264</v>
      </c>
      <c r="BJ84" s="79" t="s">
        <v>264</v>
      </c>
      <c r="BK84" s="79" t="s">
        <v>264</v>
      </c>
      <c r="BL84" s="79" t="s">
        <v>264</v>
      </c>
      <c r="BM84" s="79" t="s">
        <v>269</v>
      </c>
      <c r="BN84" s="79" t="s">
        <v>269</v>
      </c>
      <c r="BO84" s="79" t="s">
        <v>269</v>
      </c>
      <c r="BP84" s="79" t="s">
        <v>269</v>
      </c>
      <c r="BQ84" s="79" t="s">
        <v>269</v>
      </c>
      <c r="BR84" s="79" t="s">
        <v>269</v>
      </c>
      <c r="BS84" s="79" t="s">
        <v>269</v>
      </c>
      <c r="BT84" s="79" t="s">
        <v>269</v>
      </c>
    </row>
    <row r="85" spans="2:72" x14ac:dyDescent="0.3">
      <c r="B85" s="79">
        <f t="shared" si="4"/>
        <v>204</v>
      </c>
      <c r="C85" s="79" t="s">
        <v>242</v>
      </c>
      <c r="D85" s="79" t="s">
        <v>242</v>
      </c>
      <c r="E85" s="79" t="s">
        <v>242</v>
      </c>
      <c r="F85" s="79" t="s">
        <v>241</v>
      </c>
      <c r="G85" s="79" t="s">
        <v>241</v>
      </c>
      <c r="H85" s="79" t="s">
        <v>241</v>
      </c>
      <c r="I85" s="79" t="s">
        <v>241</v>
      </c>
      <c r="J85" s="79" t="s">
        <v>241</v>
      </c>
      <c r="K85" s="79" t="s">
        <v>241</v>
      </c>
      <c r="L85" s="79" t="s">
        <v>241</v>
      </c>
      <c r="M85" s="79" t="s">
        <v>241</v>
      </c>
      <c r="N85" s="79" t="s">
        <v>246</v>
      </c>
      <c r="O85" s="79" t="s">
        <v>246</v>
      </c>
      <c r="P85" s="79" t="s">
        <v>246</v>
      </c>
      <c r="Q85" s="79" t="s">
        <v>246</v>
      </c>
      <c r="R85" s="79" t="s">
        <v>246</v>
      </c>
      <c r="S85" s="79" t="s">
        <v>246</v>
      </c>
      <c r="T85" s="79" t="s">
        <v>246</v>
      </c>
      <c r="U85" s="79" t="s">
        <v>246</v>
      </c>
      <c r="V85" s="79" t="s">
        <v>246</v>
      </c>
      <c r="W85" s="79" t="s">
        <v>248</v>
      </c>
      <c r="X85" s="79" t="s">
        <v>248</v>
      </c>
      <c r="Y85" s="79" t="s">
        <v>248</v>
      </c>
      <c r="Z85" s="79" t="s">
        <v>248</v>
      </c>
      <c r="AA85" s="79" t="s">
        <v>248</v>
      </c>
      <c r="AB85" s="79" t="s">
        <v>248</v>
      </c>
      <c r="AC85" s="79" t="s">
        <v>248</v>
      </c>
      <c r="AD85" s="79" t="s">
        <v>248</v>
      </c>
      <c r="AE85" s="79" t="s">
        <v>248</v>
      </c>
      <c r="AF85" s="79" t="s">
        <v>252</v>
      </c>
      <c r="AG85" s="79" t="s">
        <v>252</v>
      </c>
      <c r="AH85" s="79" t="s">
        <v>252</v>
      </c>
      <c r="AI85" s="79" t="s">
        <v>252</v>
      </c>
      <c r="AJ85" s="79" t="s">
        <v>252</v>
      </c>
      <c r="AK85" s="79" t="s">
        <v>252</v>
      </c>
      <c r="AL85" s="79" t="s">
        <v>252</v>
      </c>
      <c r="AM85" s="79" t="s">
        <v>252</v>
      </c>
      <c r="AN85" s="79" t="s">
        <v>252</v>
      </c>
      <c r="AO85" s="79" t="s">
        <v>258</v>
      </c>
      <c r="AP85" s="79" t="s">
        <v>258</v>
      </c>
      <c r="AQ85" s="79" t="s">
        <v>258</v>
      </c>
      <c r="AR85" s="79" t="s">
        <v>258</v>
      </c>
      <c r="AS85" s="79" t="s">
        <v>258</v>
      </c>
      <c r="AT85" s="79" t="s">
        <v>258</v>
      </c>
      <c r="AU85" s="79" t="s">
        <v>258</v>
      </c>
      <c r="AV85" s="79" t="s">
        <v>258</v>
      </c>
      <c r="AW85" s="79" t="s">
        <v>260</v>
      </c>
      <c r="AX85" s="79" t="s">
        <v>260</v>
      </c>
      <c r="AY85" s="79" t="s">
        <v>260</v>
      </c>
      <c r="AZ85" s="79" t="s">
        <v>260</v>
      </c>
      <c r="BA85" s="79" t="s">
        <v>260</v>
      </c>
      <c r="BB85" s="79" t="s">
        <v>260</v>
      </c>
      <c r="BC85" s="79" t="s">
        <v>260</v>
      </c>
      <c r="BD85" s="79" t="s">
        <v>260</v>
      </c>
      <c r="BE85" s="79" t="s">
        <v>260</v>
      </c>
      <c r="BF85" s="79" t="s">
        <v>264</v>
      </c>
      <c r="BG85" s="79" t="s">
        <v>264</v>
      </c>
      <c r="BH85" s="79" t="s">
        <v>264</v>
      </c>
      <c r="BI85" s="79" t="s">
        <v>264</v>
      </c>
      <c r="BJ85" s="79" t="s">
        <v>264</v>
      </c>
      <c r="BK85" s="79" t="s">
        <v>264</v>
      </c>
      <c r="BL85" s="79" t="s">
        <v>264</v>
      </c>
      <c r="BM85" s="79" t="s">
        <v>264</v>
      </c>
      <c r="BN85" s="79" t="s">
        <v>264</v>
      </c>
      <c r="BO85" s="79" t="s">
        <v>269</v>
      </c>
      <c r="BP85" s="79" t="s">
        <v>269</v>
      </c>
      <c r="BQ85" s="79" t="s">
        <v>269</v>
      </c>
      <c r="BR85" s="79" t="s">
        <v>269</v>
      </c>
      <c r="BS85" s="79" t="s">
        <v>269</v>
      </c>
      <c r="BT85" s="79" t="s">
        <v>269</v>
      </c>
    </row>
    <row r="86" spans="2:72" x14ac:dyDescent="0.3">
      <c r="B86" s="79">
        <f t="shared" si="4"/>
        <v>206</v>
      </c>
      <c r="C86" s="79" t="s">
        <v>242</v>
      </c>
      <c r="D86" s="79" t="s">
        <v>242</v>
      </c>
      <c r="E86" s="79" t="s">
        <v>242</v>
      </c>
      <c r="F86" s="79" t="s">
        <v>242</v>
      </c>
      <c r="G86" s="79" t="s">
        <v>241</v>
      </c>
      <c r="H86" s="79" t="s">
        <v>241</v>
      </c>
      <c r="I86" s="79" t="s">
        <v>241</v>
      </c>
      <c r="J86" s="79" t="s">
        <v>241</v>
      </c>
      <c r="K86" s="79" t="s">
        <v>241</v>
      </c>
      <c r="L86" s="79" t="s">
        <v>241</v>
      </c>
      <c r="M86" s="79" t="s">
        <v>241</v>
      </c>
      <c r="N86" s="79" t="s">
        <v>241</v>
      </c>
      <c r="O86" s="79" t="s">
        <v>246</v>
      </c>
      <c r="P86" s="79" t="s">
        <v>246</v>
      </c>
      <c r="Q86" s="79" t="s">
        <v>246</v>
      </c>
      <c r="R86" s="79" t="s">
        <v>246</v>
      </c>
      <c r="S86" s="79" t="s">
        <v>246</v>
      </c>
      <c r="T86" s="79" t="s">
        <v>246</v>
      </c>
      <c r="U86" s="79" t="s">
        <v>246</v>
      </c>
      <c r="V86" s="79" t="s">
        <v>246</v>
      </c>
      <c r="W86" s="79" t="s">
        <v>246</v>
      </c>
      <c r="X86" s="79" t="s">
        <v>248</v>
      </c>
      <c r="Y86" s="79" t="s">
        <v>248</v>
      </c>
      <c r="Z86" s="79" t="s">
        <v>248</v>
      </c>
      <c r="AA86" s="79" t="s">
        <v>248</v>
      </c>
      <c r="AB86" s="79" t="s">
        <v>248</v>
      </c>
      <c r="AC86" s="79" t="s">
        <v>248</v>
      </c>
      <c r="AD86" s="79" t="s">
        <v>248</v>
      </c>
      <c r="AE86" s="79" t="s">
        <v>248</v>
      </c>
      <c r="AF86" s="79" t="s">
        <v>248</v>
      </c>
      <c r="AG86" s="79" t="s">
        <v>252</v>
      </c>
      <c r="AH86" s="79" t="s">
        <v>252</v>
      </c>
      <c r="AI86" s="79" t="s">
        <v>252</v>
      </c>
      <c r="AJ86" s="79" t="s">
        <v>252</v>
      </c>
      <c r="AK86" s="79" t="s">
        <v>252</v>
      </c>
      <c r="AL86" s="79" t="s">
        <v>252</v>
      </c>
      <c r="AM86" s="79" t="s">
        <v>252</v>
      </c>
      <c r="AN86" s="79" t="s">
        <v>252</v>
      </c>
      <c r="AO86" s="79" t="s">
        <v>252</v>
      </c>
      <c r="AP86" s="79" t="s">
        <v>258</v>
      </c>
      <c r="AQ86" s="79" t="s">
        <v>258</v>
      </c>
      <c r="AR86" s="79" t="s">
        <v>258</v>
      </c>
      <c r="AS86" s="79" t="s">
        <v>258</v>
      </c>
      <c r="AT86" s="79" t="s">
        <v>258</v>
      </c>
      <c r="AU86" s="79" t="s">
        <v>258</v>
      </c>
      <c r="AV86" s="79" t="s">
        <v>258</v>
      </c>
      <c r="AW86" s="79" t="s">
        <v>258</v>
      </c>
      <c r="AX86" s="79" t="s">
        <v>258</v>
      </c>
      <c r="AY86" s="79" t="s">
        <v>260</v>
      </c>
      <c r="AZ86" s="79" t="s">
        <v>260</v>
      </c>
      <c r="BA86" s="79" t="s">
        <v>260</v>
      </c>
      <c r="BB86" s="79" t="s">
        <v>260</v>
      </c>
      <c r="BC86" s="79" t="s">
        <v>260</v>
      </c>
      <c r="BD86" s="79" t="s">
        <v>260</v>
      </c>
      <c r="BE86" s="79" t="s">
        <v>260</v>
      </c>
      <c r="BF86" s="79" t="s">
        <v>260</v>
      </c>
      <c r="BG86" s="79" t="s">
        <v>264</v>
      </c>
      <c r="BH86" s="79" t="s">
        <v>264</v>
      </c>
      <c r="BI86" s="79" t="s">
        <v>264</v>
      </c>
      <c r="BJ86" s="79" t="s">
        <v>264</v>
      </c>
      <c r="BK86" s="79" t="s">
        <v>264</v>
      </c>
      <c r="BL86" s="79" t="s">
        <v>264</v>
      </c>
      <c r="BM86" s="79" t="s">
        <v>264</v>
      </c>
      <c r="BN86" s="79" t="s">
        <v>264</v>
      </c>
      <c r="BO86" s="79" t="s">
        <v>264</v>
      </c>
      <c r="BP86" s="79" t="s">
        <v>269</v>
      </c>
      <c r="BQ86" s="79" t="s">
        <v>269</v>
      </c>
      <c r="BR86" s="79" t="s">
        <v>269</v>
      </c>
      <c r="BS86" s="79" t="s">
        <v>269</v>
      </c>
      <c r="BT86" s="79" t="s">
        <v>269</v>
      </c>
    </row>
    <row r="87" spans="2:72" x14ac:dyDescent="0.3">
      <c r="B87" s="79">
        <f t="shared" si="4"/>
        <v>208</v>
      </c>
      <c r="C87" s="79" t="s">
        <v>242</v>
      </c>
      <c r="D87" s="79" t="s">
        <v>242</v>
      </c>
      <c r="E87" s="79" t="s">
        <v>242</v>
      </c>
      <c r="F87" s="79" t="s">
        <v>242</v>
      </c>
      <c r="G87" s="79" t="s">
        <v>241</v>
      </c>
      <c r="H87" s="79" t="s">
        <v>241</v>
      </c>
      <c r="I87" s="79" t="s">
        <v>241</v>
      </c>
      <c r="J87" s="79" t="s">
        <v>241</v>
      </c>
      <c r="K87" s="79" t="s">
        <v>241</v>
      </c>
      <c r="L87" s="79" t="s">
        <v>241</v>
      </c>
      <c r="M87" s="79" t="s">
        <v>241</v>
      </c>
      <c r="N87" s="79" t="s">
        <v>241</v>
      </c>
      <c r="O87" s="79" t="s">
        <v>241</v>
      </c>
      <c r="P87" s="79" t="s">
        <v>246</v>
      </c>
      <c r="Q87" s="79" t="s">
        <v>246</v>
      </c>
      <c r="R87" s="79" t="s">
        <v>246</v>
      </c>
      <c r="S87" s="79" t="s">
        <v>246</v>
      </c>
      <c r="T87" s="79" t="s">
        <v>246</v>
      </c>
      <c r="U87" s="79" t="s">
        <v>246</v>
      </c>
      <c r="V87" s="79" t="s">
        <v>246</v>
      </c>
      <c r="W87" s="79" t="s">
        <v>246</v>
      </c>
      <c r="X87" s="79" t="s">
        <v>246</v>
      </c>
      <c r="Y87" s="79" t="s">
        <v>248</v>
      </c>
      <c r="Z87" s="79" t="s">
        <v>248</v>
      </c>
      <c r="AA87" s="79" t="s">
        <v>248</v>
      </c>
      <c r="AB87" s="79" t="s">
        <v>248</v>
      </c>
      <c r="AC87" s="79" t="s">
        <v>248</v>
      </c>
      <c r="AD87" s="79" t="s">
        <v>248</v>
      </c>
      <c r="AE87" s="79" t="s">
        <v>248</v>
      </c>
      <c r="AF87" s="79" t="s">
        <v>248</v>
      </c>
      <c r="AG87" s="79" t="s">
        <v>248</v>
      </c>
      <c r="AH87" s="79" t="s">
        <v>252</v>
      </c>
      <c r="AI87" s="79" t="s">
        <v>252</v>
      </c>
      <c r="AJ87" s="79" t="s">
        <v>252</v>
      </c>
      <c r="AK87" s="79" t="s">
        <v>252</v>
      </c>
      <c r="AL87" s="79" t="s">
        <v>252</v>
      </c>
      <c r="AM87" s="79" t="s">
        <v>252</v>
      </c>
      <c r="AN87" s="79" t="s">
        <v>252</v>
      </c>
      <c r="AO87" s="79" t="s">
        <v>252</v>
      </c>
      <c r="AP87" s="79" t="s">
        <v>252</v>
      </c>
      <c r="AQ87" s="79" t="s">
        <v>258</v>
      </c>
      <c r="AR87" s="79" t="s">
        <v>258</v>
      </c>
      <c r="AS87" s="79" t="s">
        <v>258</v>
      </c>
      <c r="AT87" s="79" t="s">
        <v>258</v>
      </c>
      <c r="AU87" s="79" t="s">
        <v>258</v>
      </c>
      <c r="AV87" s="79" t="s">
        <v>258</v>
      </c>
      <c r="AW87" s="79" t="s">
        <v>258</v>
      </c>
      <c r="AX87" s="79" t="s">
        <v>258</v>
      </c>
      <c r="AY87" s="79" t="s">
        <v>258</v>
      </c>
      <c r="AZ87" s="79" t="s">
        <v>260</v>
      </c>
      <c r="BA87" s="79" t="s">
        <v>260</v>
      </c>
      <c r="BB87" s="79" t="s">
        <v>260</v>
      </c>
      <c r="BC87" s="79" t="s">
        <v>260</v>
      </c>
      <c r="BD87" s="79" t="s">
        <v>260</v>
      </c>
      <c r="BE87" s="79" t="s">
        <v>260</v>
      </c>
      <c r="BF87" s="79" t="s">
        <v>260</v>
      </c>
      <c r="BG87" s="79" t="s">
        <v>260</v>
      </c>
      <c r="BH87" s="79" t="s">
        <v>260</v>
      </c>
      <c r="BI87" s="79" t="s">
        <v>264</v>
      </c>
      <c r="BJ87" s="79" t="s">
        <v>264</v>
      </c>
      <c r="BK87" s="79" t="s">
        <v>264</v>
      </c>
      <c r="BL87" s="79" t="s">
        <v>264</v>
      </c>
      <c r="BM87" s="79" t="s">
        <v>264</v>
      </c>
      <c r="BN87" s="79" t="s">
        <v>264</v>
      </c>
      <c r="BO87" s="79" t="s">
        <v>264</v>
      </c>
      <c r="BP87" s="79" t="s">
        <v>264</v>
      </c>
      <c r="BQ87" s="79" t="s">
        <v>264</v>
      </c>
      <c r="BR87" s="79" t="s">
        <v>269</v>
      </c>
      <c r="BS87" s="79" t="s">
        <v>269</v>
      </c>
      <c r="BT87" s="79" t="s">
        <v>269</v>
      </c>
    </row>
    <row r="88" spans="2:72" x14ac:dyDescent="0.3">
      <c r="B88" s="79">
        <f t="shared" si="4"/>
        <v>210</v>
      </c>
      <c r="C88" s="79" t="s">
        <v>242</v>
      </c>
      <c r="D88" s="79" t="s">
        <v>242</v>
      </c>
      <c r="E88" s="79" t="s">
        <v>242</v>
      </c>
      <c r="F88" s="79" t="s">
        <v>242</v>
      </c>
      <c r="G88" s="79" t="s">
        <v>242</v>
      </c>
      <c r="H88" s="79" t="s">
        <v>241</v>
      </c>
      <c r="I88" s="79" t="s">
        <v>241</v>
      </c>
      <c r="J88" s="79" t="s">
        <v>241</v>
      </c>
      <c r="K88" s="79" t="s">
        <v>241</v>
      </c>
      <c r="L88" s="79" t="s">
        <v>241</v>
      </c>
      <c r="M88" s="79" t="s">
        <v>241</v>
      </c>
      <c r="N88" s="79" t="s">
        <v>241</v>
      </c>
      <c r="O88" s="79" t="s">
        <v>241</v>
      </c>
      <c r="P88" s="79" t="s">
        <v>241</v>
      </c>
      <c r="Q88" s="79" t="s">
        <v>246</v>
      </c>
      <c r="R88" s="79" t="s">
        <v>246</v>
      </c>
      <c r="S88" s="79" t="s">
        <v>246</v>
      </c>
      <c r="T88" s="79" t="s">
        <v>246</v>
      </c>
      <c r="U88" s="79" t="s">
        <v>246</v>
      </c>
      <c r="V88" s="79" t="s">
        <v>246</v>
      </c>
      <c r="W88" s="79" t="s">
        <v>246</v>
      </c>
      <c r="X88" s="79" t="s">
        <v>246</v>
      </c>
      <c r="Y88" s="79" t="s">
        <v>246</v>
      </c>
      <c r="Z88" s="79" t="s">
        <v>248</v>
      </c>
      <c r="AA88" s="79" t="s">
        <v>248</v>
      </c>
      <c r="AB88" s="79" t="s">
        <v>248</v>
      </c>
      <c r="AC88" s="79" t="s">
        <v>248</v>
      </c>
      <c r="AD88" s="79" t="s">
        <v>248</v>
      </c>
      <c r="AE88" s="79" t="s">
        <v>248</v>
      </c>
      <c r="AF88" s="79" t="s">
        <v>248</v>
      </c>
      <c r="AG88" s="79" t="s">
        <v>248</v>
      </c>
      <c r="AH88" s="79" t="s">
        <v>248</v>
      </c>
      <c r="AI88" s="79" t="s">
        <v>252</v>
      </c>
      <c r="AJ88" s="79" t="s">
        <v>252</v>
      </c>
      <c r="AK88" s="79" t="s">
        <v>252</v>
      </c>
      <c r="AL88" s="79" t="s">
        <v>252</v>
      </c>
      <c r="AM88" s="79" t="s">
        <v>252</v>
      </c>
      <c r="AN88" s="79" t="s">
        <v>252</v>
      </c>
      <c r="AO88" s="79" t="s">
        <v>252</v>
      </c>
      <c r="AP88" s="79" t="s">
        <v>252</v>
      </c>
      <c r="AQ88" s="79" t="s">
        <v>252</v>
      </c>
      <c r="AR88" s="79" t="s">
        <v>258</v>
      </c>
      <c r="AS88" s="79" t="s">
        <v>258</v>
      </c>
      <c r="AT88" s="79" t="s">
        <v>258</v>
      </c>
      <c r="AU88" s="79" t="s">
        <v>258</v>
      </c>
      <c r="AV88" s="79" t="s">
        <v>258</v>
      </c>
      <c r="AW88" s="79" t="s">
        <v>258</v>
      </c>
      <c r="AX88" s="79" t="s">
        <v>258</v>
      </c>
      <c r="AY88" s="79" t="s">
        <v>258</v>
      </c>
      <c r="AZ88" s="79" t="s">
        <v>258</v>
      </c>
      <c r="BA88" s="79" t="s">
        <v>260</v>
      </c>
      <c r="BB88" s="79" t="s">
        <v>260</v>
      </c>
      <c r="BC88" s="79" t="s">
        <v>260</v>
      </c>
      <c r="BD88" s="79" t="s">
        <v>260</v>
      </c>
      <c r="BE88" s="79" t="s">
        <v>260</v>
      </c>
      <c r="BF88" s="79" t="s">
        <v>260</v>
      </c>
      <c r="BG88" s="79" t="s">
        <v>260</v>
      </c>
      <c r="BH88" s="79" t="s">
        <v>260</v>
      </c>
      <c r="BI88" s="79" t="s">
        <v>260</v>
      </c>
      <c r="BJ88" s="79" t="s">
        <v>264</v>
      </c>
      <c r="BK88" s="79" t="s">
        <v>264</v>
      </c>
      <c r="BL88" s="79" t="s">
        <v>264</v>
      </c>
      <c r="BM88" s="79" t="s">
        <v>264</v>
      </c>
      <c r="BN88" s="79" t="s">
        <v>264</v>
      </c>
      <c r="BO88" s="79" t="s">
        <v>264</v>
      </c>
      <c r="BP88" s="79" t="s">
        <v>264</v>
      </c>
      <c r="BQ88" s="79" t="s">
        <v>264</v>
      </c>
      <c r="BR88" s="79" t="s">
        <v>264</v>
      </c>
      <c r="BS88" s="79" t="s">
        <v>269</v>
      </c>
      <c r="BT88" s="79" t="s">
        <v>269</v>
      </c>
    </row>
    <row r="89" spans="2:72" x14ac:dyDescent="0.3">
      <c r="B89" s="79">
        <f t="shared" si="4"/>
        <v>212</v>
      </c>
      <c r="C89" s="79" t="s">
        <v>242</v>
      </c>
      <c r="D89" s="79" t="s">
        <v>242</v>
      </c>
      <c r="E89" s="79" t="s">
        <v>242</v>
      </c>
      <c r="F89" s="79" t="s">
        <v>242</v>
      </c>
      <c r="G89" s="79" t="s">
        <v>242</v>
      </c>
      <c r="H89" s="79" t="s">
        <v>242</v>
      </c>
      <c r="I89" s="79" t="s">
        <v>241</v>
      </c>
      <c r="J89" s="79" t="s">
        <v>241</v>
      </c>
      <c r="K89" s="79" t="s">
        <v>241</v>
      </c>
      <c r="L89" s="79" t="s">
        <v>241</v>
      </c>
      <c r="M89" s="79" t="s">
        <v>241</v>
      </c>
      <c r="N89" s="79" t="s">
        <v>241</v>
      </c>
      <c r="O89" s="79" t="s">
        <v>241</v>
      </c>
      <c r="P89" s="79" t="s">
        <v>241</v>
      </c>
      <c r="Q89" s="79" t="s">
        <v>241</v>
      </c>
      <c r="R89" s="79" t="s">
        <v>246</v>
      </c>
      <c r="S89" s="79" t="s">
        <v>246</v>
      </c>
      <c r="T89" s="79" t="s">
        <v>246</v>
      </c>
      <c r="U89" s="79" t="s">
        <v>246</v>
      </c>
      <c r="V89" s="79" t="s">
        <v>246</v>
      </c>
      <c r="W89" s="79" t="s">
        <v>246</v>
      </c>
      <c r="X89" s="79" t="s">
        <v>246</v>
      </c>
      <c r="Y89" s="79" t="s">
        <v>246</v>
      </c>
      <c r="Z89" s="79" t="s">
        <v>246</v>
      </c>
      <c r="AA89" s="79" t="s">
        <v>248</v>
      </c>
      <c r="AB89" s="79" t="s">
        <v>248</v>
      </c>
      <c r="AC89" s="79" t="s">
        <v>248</v>
      </c>
      <c r="AD89" s="79" t="s">
        <v>248</v>
      </c>
      <c r="AE89" s="79" t="s">
        <v>248</v>
      </c>
      <c r="AF89" s="79" t="s">
        <v>248</v>
      </c>
      <c r="AG89" s="79" t="s">
        <v>248</v>
      </c>
      <c r="AH89" s="79" t="s">
        <v>248</v>
      </c>
      <c r="AI89" s="79" t="s">
        <v>248</v>
      </c>
      <c r="AJ89" s="79" t="s">
        <v>252</v>
      </c>
      <c r="AK89" s="79" t="s">
        <v>252</v>
      </c>
      <c r="AL89" s="79" t="s">
        <v>252</v>
      </c>
      <c r="AM89" s="79" t="s">
        <v>252</v>
      </c>
      <c r="AN89" s="79" t="s">
        <v>252</v>
      </c>
      <c r="AO89" s="79" t="s">
        <v>252</v>
      </c>
      <c r="AP89" s="79" t="s">
        <v>252</v>
      </c>
      <c r="AQ89" s="79" t="s">
        <v>252</v>
      </c>
      <c r="AR89" s="79" t="s">
        <v>252</v>
      </c>
      <c r="AS89" s="79" t="s">
        <v>258</v>
      </c>
      <c r="AT89" s="79" t="s">
        <v>258</v>
      </c>
      <c r="AU89" s="79" t="s">
        <v>258</v>
      </c>
      <c r="AV89" s="79" t="s">
        <v>258</v>
      </c>
      <c r="AW89" s="79" t="s">
        <v>258</v>
      </c>
      <c r="AX89" s="79" t="s">
        <v>258</v>
      </c>
      <c r="AY89" s="79" t="s">
        <v>258</v>
      </c>
      <c r="AZ89" s="79" t="s">
        <v>258</v>
      </c>
      <c r="BA89" s="79" t="s">
        <v>258</v>
      </c>
      <c r="BB89" s="79" t="s">
        <v>260</v>
      </c>
      <c r="BC89" s="79" t="s">
        <v>260</v>
      </c>
      <c r="BD89" s="79" t="s">
        <v>260</v>
      </c>
      <c r="BE89" s="79" t="s">
        <v>260</v>
      </c>
      <c r="BF89" s="79" t="s">
        <v>260</v>
      </c>
      <c r="BG89" s="79" t="s">
        <v>260</v>
      </c>
      <c r="BH89" s="79" t="s">
        <v>260</v>
      </c>
      <c r="BI89" s="79" t="s">
        <v>260</v>
      </c>
      <c r="BJ89" s="79" t="s">
        <v>260</v>
      </c>
      <c r="BK89" s="79" t="s">
        <v>264</v>
      </c>
      <c r="BL89" s="79" t="s">
        <v>264</v>
      </c>
      <c r="BM89" s="79" t="s">
        <v>264</v>
      </c>
      <c r="BN89" s="79" t="s">
        <v>264</v>
      </c>
      <c r="BO89" s="79" t="s">
        <v>264</v>
      </c>
      <c r="BP89" s="79" t="s">
        <v>264</v>
      </c>
      <c r="BQ89" s="79" t="s">
        <v>264</v>
      </c>
      <c r="BR89" s="79" t="s">
        <v>264</v>
      </c>
      <c r="BS89" s="79" t="s">
        <v>264</v>
      </c>
      <c r="BT89" s="79" t="s">
        <v>269</v>
      </c>
    </row>
    <row r="90" spans="2:72" x14ac:dyDescent="0.3">
      <c r="B90" s="79">
        <f t="shared" si="4"/>
        <v>214</v>
      </c>
      <c r="C90" s="79" t="s">
        <v>242</v>
      </c>
      <c r="D90" s="79" t="s">
        <v>242</v>
      </c>
      <c r="E90" s="79" t="s">
        <v>242</v>
      </c>
      <c r="F90" s="79" t="s">
        <v>242</v>
      </c>
      <c r="G90" s="79" t="s">
        <v>242</v>
      </c>
      <c r="H90" s="79" t="s">
        <v>242</v>
      </c>
      <c r="I90" s="79" t="s">
        <v>242</v>
      </c>
      <c r="J90" s="79" t="s">
        <v>241</v>
      </c>
      <c r="K90" s="79" t="s">
        <v>241</v>
      </c>
      <c r="L90" s="79" t="s">
        <v>241</v>
      </c>
      <c r="M90" s="79" t="s">
        <v>241</v>
      </c>
      <c r="N90" s="79" t="s">
        <v>241</v>
      </c>
      <c r="O90" s="79" t="s">
        <v>241</v>
      </c>
      <c r="P90" s="79" t="s">
        <v>241</v>
      </c>
      <c r="Q90" s="79" t="s">
        <v>241</v>
      </c>
      <c r="R90" s="79" t="s">
        <v>241</v>
      </c>
      <c r="S90" s="79" t="s">
        <v>246</v>
      </c>
      <c r="T90" s="79" t="s">
        <v>246</v>
      </c>
      <c r="U90" s="79" t="s">
        <v>246</v>
      </c>
      <c r="V90" s="79" t="s">
        <v>246</v>
      </c>
      <c r="W90" s="79" t="s">
        <v>246</v>
      </c>
      <c r="X90" s="79" t="s">
        <v>246</v>
      </c>
      <c r="Y90" s="79" t="s">
        <v>246</v>
      </c>
      <c r="Z90" s="79" t="s">
        <v>246</v>
      </c>
      <c r="AA90" s="79" t="s">
        <v>246</v>
      </c>
      <c r="AB90" s="79" t="s">
        <v>248</v>
      </c>
      <c r="AC90" s="79" t="s">
        <v>248</v>
      </c>
      <c r="AD90" s="79" t="s">
        <v>248</v>
      </c>
      <c r="AE90" s="79" t="s">
        <v>248</v>
      </c>
      <c r="AF90" s="79" t="s">
        <v>248</v>
      </c>
      <c r="AG90" s="79" t="s">
        <v>248</v>
      </c>
      <c r="AH90" s="79" t="s">
        <v>248</v>
      </c>
      <c r="AI90" s="79" t="s">
        <v>248</v>
      </c>
      <c r="AJ90" s="79" t="s">
        <v>248</v>
      </c>
      <c r="AK90" s="79" t="s">
        <v>252</v>
      </c>
      <c r="AL90" s="79" t="s">
        <v>252</v>
      </c>
      <c r="AM90" s="79" t="s">
        <v>252</v>
      </c>
      <c r="AN90" s="79" t="s">
        <v>252</v>
      </c>
      <c r="AO90" s="79" t="s">
        <v>252</v>
      </c>
      <c r="AP90" s="79" t="s">
        <v>252</v>
      </c>
      <c r="AQ90" s="79" t="s">
        <v>252</v>
      </c>
      <c r="AR90" s="79" t="s">
        <v>252</v>
      </c>
      <c r="AS90" s="79" t="s">
        <v>252</v>
      </c>
      <c r="AT90" s="79" t="s">
        <v>258</v>
      </c>
      <c r="AU90" s="79" t="s">
        <v>258</v>
      </c>
      <c r="AV90" s="79" t="s">
        <v>258</v>
      </c>
      <c r="AW90" s="79" t="s">
        <v>258</v>
      </c>
      <c r="AX90" s="79" t="s">
        <v>258</v>
      </c>
      <c r="AY90" s="79" t="s">
        <v>258</v>
      </c>
      <c r="AZ90" s="79" t="s">
        <v>258</v>
      </c>
      <c r="BA90" s="79" t="s">
        <v>258</v>
      </c>
      <c r="BB90" s="79" t="s">
        <v>258</v>
      </c>
      <c r="BC90" s="79" t="s">
        <v>260</v>
      </c>
      <c r="BD90" s="79" t="s">
        <v>260</v>
      </c>
      <c r="BE90" s="79" t="s">
        <v>260</v>
      </c>
      <c r="BF90" s="79" t="s">
        <v>260</v>
      </c>
      <c r="BG90" s="79" t="s">
        <v>260</v>
      </c>
      <c r="BH90" s="79" t="s">
        <v>260</v>
      </c>
      <c r="BI90" s="79" t="s">
        <v>260</v>
      </c>
      <c r="BJ90" s="79" t="s">
        <v>260</v>
      </c>
      <c r="BK90" s="79" t="s">
        <v>260</v>
      </c>
      <c r="BL90" s="79" t="s">
        <v>260</v>
      </c>
      <c r="BM90" s="79" t="s">
        <v>264</v>
      </c>
      <c r="BN90" s="79" t="s">
        <v>264</v>
      </c>
      <c r="BO90" s="79" t="s">
        <v>264</v>
      </c>
      <c r="BP90" s="79" t="s">
        <v>264</v>
      </c>
      <c r="BQ90" s="79" t="s">
        <v>264</v>
      </c>
      <c r="BR90" s="79" t="s">
        <v>264</v>
      </c>
      <c r="BS90" s="79" t="s">
        <v>264</v>
      </c>
      <c r="BT90" s="79" t="s">
        <v>264</v>
      </c>
    </row>
    <row r="91" spans="2:72" x14ac:dyDescent="0.3">
      <c r="B91" s="79">
        <f t="shared" si="4"/>
        <v>216</v>
      </c>
      <c r="C91" s="79" t="s">
        <v>242</v>
      </c>
      <c r="D91" s="79" t="s">
        <v>242</v>
      </c>
      <c r="E91" s="79" t="s">
        <v>242</v>
      </c>
      <c r="F91" s="79" t="s">
        <v>242</v>
      </c>
      <c r="G91" s="79" t="s">
        <v>242</v>
      </c>
      <c r="H91" s="79" t="s">
        <v>242</v>
      </c>
      <c r="I91" s="79" t="s">
        <v>242</v>
      </c>
      <c r="J91" s="79" t="s">
        <v>242</v>
      </c>
      <c r="K91" s="79" t="s">
        <v>241</v>
      </c>
      <c r="L91" s="79" t="s">
        <v>241</v>
      </c>
      <c r="M91" s="79" t="s">
        <v>241</v>
      </c>
      <c r="N91" s="79" t="s">
        <v>241</v>
      </c>
      <c r="O91" s="79" t="s">
        <v>241</v>
      </c>
      <c r="P91" s="79" t="s">
        <v>241</v>
      </c>
      <c r="Q91" s="79" t="s">
        <v>241</v>
      </c>
      <c r="R91" s="79" t="s">
        <v>241</v>
      </c>
      <c r="S91" s="79" t="s">
        <v>241</v>
      </c>
      <c r="T91" s="79" t="s">
        <v>246</v>
      </c>
      <c r="U91" s="79" t="s">
        <v>246</v>
      </c>
      <c r="V91" s="79" t="s">
        <v>246</v>
      </c>
      <c r="W91" s="79" t="s">
        <v>246</v>
      </c>
      <c r="X91" s="79" t="s">
        <v>246</v>
      </c>
      <c r="Y91" s="79" t="s">
        <v>246</v>
      </c>
      <c r="Z91" s="79" t="s">
        <v>246</v>
      </c>
      <c r="AA91" s="79" t="s">
        <v>246</v>
      </c>
      <c r="AB91" s="79" t="s">
        <v>246</v>
      </c>
      <c r="AC91" s="79" t="s">
        <v>248</v>
      </c>
      <c r="AD91" s="79" t="s">
        <v>248</v>
      </c>
      <c r="AE91" s="79" t="s">
        <v>248</v>
      </c>
      <c r="AF91" s="79" t="s">
        <v>248</v>
      </c>
      <c r="AG91" s="79" t="s">
        <v>248</v>
      </c>
      <c r="AH91" s="79" t="s">
        <v>248</v>
      </c>
      <c r="AI91" s="79" t="s">
        <v>248</v>
      </c>
      <c r="AJ91" s="79" t="s">
        <v>248</v>
      </c>
      <c r="AK91" s="79" t="s">
        <v>248</v>
      </c>
      <c r="AL91" s="79" t="s">
        <v>252</v>
      </c>
      <c r="AM91" s="79" t="s">
        <v>252</v>
      </c>
      <c r="AN91" s="79" t="s">
        <v>252</v>
      </c>
      <c r="AO91" s="79" t="s">
        <v>252</v>
      </c>
      <c r="AP91" s="79" t="s">
        <v>252</v>
      </c>
      <c r="AQ91" s="79" t="s">
        <v>252</v>
      </c>
      <c r="AR91" s="79" t="s">
        <v>252</v>
      </c>
      <c r="AS91" s="79" t="s">
        <v>252</v>
      </c>
      <c r="AT91" s="79" t="s">
        <v>252</v>
      </c>
      <c r="AU91" s="79" t="s">
        <v>258</v>
      </c>
      <c r="AV91" s="79" t="s">
        <v>258</v>
      </c>
      <c r="AW91" s="79" t="s">
        <v>258</v>
      </c>
      <c r="AX91" s="79" t="s">
        <v>258</v>
      </c>
      <c r="AY91" s="79" t="s">
        <v>258</v>
      </c>
      <c r="AZ91" s="79" t="s">
        <v>258</v>
      </c>
      <c r="BA91" s="79" t="s">
        <v>258</v>
      </c>
      <c r="BB91" s="79" t="s">
        <v>258</v>
      </c>
      <c r="BC91" s="79" t="s">
        <v>258</v>
      </c>
      <c r="BD91" s="79" t="s">
        <v>258</v>
      </c>
      <c r="BE91" s="79" t="s">
        <v>260</v>
      </c>
      <c r="BF91" s="79" t="s">
        <v>260</v>
      </c>
      <c r="BG91" s="79" t="s">
        <v>260</v>
      </c>
      <c r="BH91" s="79" t="s">
        <v>260</v>
      </c>
      <c r="BI91" s="79" t="s">
        <v>260</v>
      </c>
      <c r="BJ91" s="79" t="s">
        <v>260</v>
      </c>
      <c r="BK91" s="79" t="s">
        <v>260</v>
      </c>
      <c r="BL91" s="79" t="s">
        <v>260</v>
      </c>
      <c r="BM91" s="79" t="s">
        <v>260</v>
      </c>
      <c r="BN91" s="79" t="s">
        <v>264</v>
      </c>
      <c r="BO91" s="79" t="s">
        <v>264</v>
      </c>
      <c r="BP91" s="79" t="s">
        <v>264</v>
      </c>
      <c r="BQ91" s="79" t="s">
        <v>264</v>
      </c>
      <c r="BR91" s="79" t="s">
        <v>264</v>
      </c>
      <c r="BS91" s="79" t="s">
        <v>264</v>
      </c>
      <c r="BT91" s="79" t="s">
        <v>264</v>
      </c>
    </row>
    <row r="92" spans="2:72" x14ac:dyDescent="0.3">
      <c r="B92" s="79">
        <f t="shared" si="4"/>
        <v>218</v>
      </c>
      <c r="C92" s="79" t="s">
        <v>242</v>
      </c>
      <c r="D92" s="79" t="s">
        <v>242</v>
      </c>
      <c r="E92" s="79" t="s">
        <v>242</v>
      </c>
      <c r="F92" s="79" t="s">
        <v>242</v>
      </c>
      <c r="G92" s="79" t="s">
        <v>242</v>
      </c>
      <c r="H92" s="79" t="s">
        <v>242</v>
      </c>
      <c r="I92" s="79" t="s">
        <v>242</v>
      </c>
      <c r="J92" s="79" t="s">
        <v>242</v>
      </c>
      <c r="K92" s="79" t="s">
        <v>241</v>
      </c>
      <c r="L92" s="79" t="s">
        <v>241</v>
      </c>
      <c r="M92" s="79" t="s">
        <v>241</v>
      </c>
      <c r="N92" s="79" t="s">
        <v>241</v>
      </c>
      <c r="O92" s="79" t="s">
        <v>241</v>
      </c>
      <c r="P92" s="79" t="s">
        <v>241</v>
      </c>
      <c r="Q92" s="79" t="s">
        <v>241</v>
      </c>
      <c r="R92" s="79" t="s">
        <v>241</v>
      </c>
      <c r="S92" s="79" t="s">
        <v>241</v>
      </c>
      <c r="T92" s="79" t="s">
        <v>241</v>
      </c>
      <c r="U92" s="79" t="s">
        <v>246</v>
      </c>
      <c r="V92" s="79" t="s">
        <v>246</v>
      </c>
      <c r="W92" s="79" t="s">
        <v>246</v>
      </c>
      <c r="X92" s="79" t="s">
        <v>246</v>
      </c>
      <c r="Y92" s="79" t="s">
        <v>246</v>
      </c>
      <c r="Z92" s="79" t="s">
        <v>246</v>
      </c>
      <c r="AA92" s="79" t="s">
        <v>246</v>
      </c>
      <c r="AB92" s="79" t="s">
        <v>246</v>
      </c>
      <c r="AC92" s="79" t="s">
        <v>246</v>
      </c>
      <c r="AD92" s="79" t="s">
        <v>248</v>
      </c>
      <c r="AE92" s="79" t="s">
        <v>248</v>
      </c>
      <c r="AF92" s="79" t="s">
        <v>248</v>
      </c>
      <c r="AG92" s="79" t="s">
        <v>248</v>
      </c>
      <c r="AH92" s="79" t="s">
        <v>248</v>
      </c>
      <c r="AI92" s="79" t="s">
        <v>248</v>
      </c>
      <c r="AJ92" s="79" t="s">
        <v>248</v>
      </c>
      <c r="AK92" s="79" t="s">
        <v>248</v>
      </c>
      <c r="AL92" s="79" t="s">
        <v>248</v>
      </c>
      <c r="AM92" s="79" t="s">
        <v>252</v>
      </c>
      <c r="AN92" s="79" t="s">
        <v>252</v>
      </c>
      <c r="AO92" s="79" t="s">
        <v>252</v>
      </c>
      <c r="AP92" s="79" t="s">
        <v>252</v>
      </c>
      <c r="AQ92" s="79" t="s">
        <v>252</v>
      </c>
      <c r="AR92" s="79" t="s">
        <v>252</v>
      </c>
      <c r="AS92" s="79" t="s">
        <v>252</v>
      </c>
      <c r="AT92" s="79" t="s">
        <v>252</v>
      </c>
      <c r="AU92" s="79" t="s">
        <v>252</v>
      </c>
      <c r="AV92" s="79" t="s">
        <v>252</v>
      </c>
      <c r="AW92" s="79" t="s">
        <v>258</v>
      </c>
      <c r="AX92" s="79" t="s">
        <v>258</v>
      </c>
      <c r="AY92" s="79" t="s">
        <v>258</v>
      </c>
      <c r="AZ92" s="79" t="s">
        <v>258</v>
      </c>
      <c r="BA92" s="79" t="s">
        <v>258</v>
      </c>
      <c r="BB92" s="79" t="s">
        <v>258</v>
      </c>
      <c r="BC92" s="79" t="s">
        <v>258</v>
      </c>
      <c r="BD92" s="79" t="s">
        <v>258</v>
      </c>
      <c r="BE92" s="79" t="s">
        <v>258</v>
      </c>
      <c r="BF92" s="79" t="s">
        <v>260</v>
      </c>
      <c r="BG92" s="79" t="s">
        <v>260</v>
      </c>
      <c r="BH92" s="79" t="s">
        <v>260</v>
      </c>
      <c r="BI92" s="79" t="s">
        <v>260</v>
      </c>
      <c r="BJ92" s="79" t="s">
        <v>260</v>
      </c>
      <c r="BK92" s="79" t="s">
        <v>260</v>
      </c>
      <c r="BL92" s="79" t="s">
        <v>260</v>
      </c>
      <c r="BM92" s="79" t="s">
        <v>260</v>
      </c>
      <c r="BN92" s="79" t="s">
        <v>260</v>
      </c>
      <c r="BO92" s="79" t="s">
        <v>264</v>
      </c>
      <c r="BP92" s="79" t="s">
        <v>264</v>
      </c>
      <c r="BQ92" s="79" t="s">
        <v>264</v>
      </c>
      <c r="BR92" s="79" t="s">
        <v>264</v>
      </c>
      <c r="BS92" s="79" t="s">
        <v>264</v>
      </c>
      <c r="BT92" s="79" t="s">
        <v>264</v>
      </c>
    </row>
    <row r="93" spans="2:72" x14ac:dyDescent="0.3">
      <c r="B93" s="79">
        <f t="shared" si="4"/>
        <v>220</v>
      </c>
      <c r="C93" s="79" t="s">
        <v>242</v>
      </c>
      <c r="D93" s="79" t="s">
        <v>242</v>
      </c>
      <c r="E93" s="79" t="s">
        <v>242</v>
      </c>
      <c r="F93" s="79" t="s">
        <v>242</v>
      </c>
      <c r="G93" s="79" t="s">
        <v>242</v>
      </c>
      <c r="H93" s="79" t="s">
        <v>242</v>
      </c>
      <c r="I93" s="79" t="s">
        <v>242</v>
      </c>
      <c r="J93" s="79" t="s">
        <v>242</v>
      </c>
      <c r="K93" s="79" t="s">
        <v>242</v>
      </c>
      <c r="L93" s="79" t="s">
        <v>241</v>
      </c>
      <c r="M93" s="79" t="s">
        <v>241</v>
      </c>
      <c r="N93" s="79" t="s">
        <v>241</v>
      </c>
      <c r="O93" s="79" t="s">
        <v>241</v>
      </c>
      <c r="P93" s="79" t="s">
        <v>241</v>
      </c>
      <c r="Q93" s="79" t="s">
        <v>241</v>
      </c>
      <c r="R93" s="79" t="s">
        <v>241</v>
      </c>
      <c r="S93" s="79" t="s">
        <v>241</v>
      </c>
      <c r="T93" s="79" t="s">
        <v>241</v>
      </c>
      <c r="U93" s="79" t="s">
        <v>241</v>
      </c>
      <c r="V93" s="79" t="s">
        <v>246</v>
      </c>
      <c r="W93" s="79" t="s">
        <v>246</v>
      </c>
      <c r="X93" s="79" t="s">
        <v>246</v>
      </c>
      <c r="Y93" s="79" t="s">
        <v>246</v>
      </c>
      <c r="Z93" s="79" t="s">
        <v>246</v>
      </c>
      <c r="AA93" s="79" t="s">
        <v>246</v>
      </c>
      <c r="AB93" s="79" t="s">
        <v>246</v>
      </c>
      <c r="AC93" s="79" t="s">
        <v>246</v>
      </c>
      <c r="AD93" s="79" t="s">
        <v>246</v>
      </c>
      <c r="AE93" s="79" t="s">
        <v>248</v>
      </c>
      <c r="AF93" s="79" t="s">
        <v>248</v>
      </c>
      <c r="AG93" s="79" t="s">
        <v>248</v>
      </c>
      <c r="AH93" s="79" t="s">
        <v>248</v>
      </c>
      <c r="AI93" s="79" t="s">
        <v>248</v>
      </c>
      <c r="AJ93" s="79" t="s">
        <v>248</v>
      </c>
      <c r="AK93" s="79" t="s">
        <v>248</v>
      </c>
      <c r="AL93" s="79" t="s">
        <v>248</v>
      </c>
      <c r="AM93" s="79" t="s">
        <v>248</v>
      </c>
      <c r="AN93" s="79" t="s">
        <v>252</v>
      </c>
      <c r="AO93" s="79" t="s">
        <v>252</v>
      </c>
      <c r="AP93" s="79" t="s">
        <v>252</v>
      </c>
      <c r="AQ93" s="79" t="s">
        <v>252</v>
      </c>
      <c r="AR93" s="79" t="s">
        <v>252</v>
      </c>
      <c r="AS93" s="79" t="s">
        <v>252</v>
      </c>
      <c r="AT93" s="79" t="s">
        <v>252</v>
      </c>
      <c r="AU93" s="79" t="s">
        <v>252</v>
      </c>
      <c r="AV93" s="79" t="s">
        <v>252</v>
      </c>
      <c r="AW93" s="79" t="s">
        <v>252</v>
      </c>
      <c r="AX93" s="79" t="s">
        <v>258</v>
      </c>
      <c r="AY93" s="79" t="s">
        <v>258</v>
      </c>
      <c r="AZ93" s="79" t="s">
        <v>258</v>
      </c>
      <c r="BA93" s="79" t="s">
        <v>258</v>
      </c>
      <c r="BB93" s="79" t="s">
        <v>258</v>
      </c>
      <c r="BC93" s="79" t="s">
        <v>258</v>
      </c>
      <c r="BD93" s="79" t="s">
        <v>258</v>
      </c>
      <c r="BE93" s="79" t="s">
        <v>258</v>
      </c>
      <c r="BF93" s="79" t="s">
        <v>258</v>
      </c>
      <c r="BG93" s="79" t="s">
        <v>260</v>
      </c>
      <c r="BH93" s="79" t="s">
        <v>260</v>
      </c>
      <c r="BI93" s="79" t="s">
        <v>260</v>
      </c>
      <c r="BJ93" s="79" t="s">
        <v>260</v>
      </c>
      <c r="BK93" s="79" t="s">
        <v>260</v>
      </c>
      <c r="BL93" s="79" t="s">
        <v>260</v>
      </c>
      <c r="BM93" s="79" t="s">
        <v>260</v>
      </c>
      <c r="BN93" s="79" t="s">
        <v>260</v>
      </c>
      <c r="BO93" s="79" t="s">
        <v>260</v>
      </c>
      <c r="BP93" s="79" t="s">
        <v>264</v>
      </c>
      <c r="BQ93" s="79" t="s">
        <v>264</v>
      </c>
      <c r="BR93" s="79" t="s">
        <v>264</v>
      </c>
      <c r="BS93" s="79" t="s">
        <v>264</v>
      </c>
      <c r="BT93" s="79" t="s">
        <v>264</v>
      </c>
    </row>
    <row r="94" spans="2:72" x14ac:dyDescent="0.3">
      <c r="B94" s="79">
        <f t="shared" si="4"/>
        <v>222</v>
      </c>
      <c r="C94" s="79" t="s">
        <v>242</v>
      </c>
      <c r="D94" s="79" t="s">
        <v>242</v>
      </c>
      <c r="E94" s="79" t="s">
        <v>242</v>
      </c>
      <c r="F94" s="79" t="s">
        <v>242</v>
      </c>
      <c r="G94" s="79" t="s">
        <v>242</v>
      </c>
      <c r="H94" s="79" t="s">
        <v>242</v>
      </c>
      <c r="I94" s="79" t="s">
        <v>242</v>
      </c>
      <c r="J94" s="79" t="s">
        <v>242</v>
      </c>
      <c r="K94" s="79" t="s">
        <v>242</v>
      </c>
      <c r="L94" s="79" t="s">
        <v>242</v>
      </c>
      <c r="M94" s="79" t="s">
        <v>241</v>
      </c>
      <c r="N94" s="79" t="s">
        <v>241</v>
      </c>
      <c r="O94" s="79" t="s">
        <v>241</v>
      </c>
      <c r="P94" s="79" t="s">
        <v>241</v>
      </c>
      <c r="Q94" s="79" t="s">
        <v>241</v>
      </c>
      <c r="R94" s="79" t="s">
        <v>241</v>
      </c>
      <c r="S94" s="79" t="s">
        <v>241</v>
      </c>
      <c r="T94" s="79" t="s">
        <v>241</v>
      </c>
      <c r="U94" s="79" t="s">
        <v>241</v>
      </c>
      <c r="V94" s="79" t="s">
        <v>246</v>
      </c>
      <c r="W94" s="79" t="s">
        <v>246</v>
      </c>
      <c r="X94" s="79" t="s">
        <v>246</v>
      </c>
      <c r="Y94" s="79" t="s">
        <v>246</v>
      </c>
      <c r="Z94" s="79" t="s">
        <v>246</v>
      </c>
      <c r="AA94" s="79" t="s">
        <v>246</v>
      </c>
      <c r="AB94" s="79" t="s">
        <v>246</v>
      </c>
      <c r="AC94" s="79" t="s">
        <v>246</v>
      </c>
      <c r="AD94" s="79" t="s">
        <v>246</v>
      </c>
      <c r="AE94" s="79" t="s">
        <v>246</v>
      </c>
      <c r="AF94" s="79" t="s">
        <v>248</v>
      </c>
      <c r="AG94" s="79" t="s">
        <v>248</v>
      </c>
      <c r="AH94" s="79" t="s">
        <v>248</v>
      </c>
      <c r="AI94" s="79" t="s">
        <v>248</v>
      </c>
      <c r="AJ94" s="79" t="s">
        <v>248</v>
      </c>
      <c r="AK94" s="79" t="s">
        <v>248</v>
      </c>
      <c r="AL94" s="79" t="s">
        <v>248</v>
      </c>
      <c r="AM94" s="79" t="s">
        <v>248</v>
      </c>
      <c r="AN94" s="79" t="s">
        <v>248</v>
      </c>
      <c r="AO94" s="79" t="s">
        <v>252</v>
      </c>
      <c r="AP94" s="79" t="s">
        <v>252</v>
      </c>
      <c r="AQ94" s="79" t="s">
        <v>252</v>
      </c>
      <c r="AR94" s="79" t="s">
        <v>252</v>
      </c>
      <c r="AS94" s="79" t="s">
        <v>252</v>
      </c>
      <c r="AT94" s="79" t="s">
        <v>252</v>
      </c>
      <c r="AU94" s="79" t="s">
        <v>252</v>
      </c>
      <c r="AV94" s="79" t="s">
        <v>252</v>
      </c>
      <c r="AW94" s="79" t="s">
        <v>252</v>
      </c>
      <c r="AX94" s="79" t="s">
        <v>252</v>
      </c>
      <c r="AY94" s="79" t="s">
        <v>258</v>
      </c>
      <c r="AZ94" s="79" t="s">
        <v>258</v>
      </c>
      <c r="BA94" s="79" t="s">
        <v>258</v>
      </c>
      <c r="BB94" s="79" t="s">
        <v>258</v>
      </c>
      <c r="BC94" s="79" t="s">
        <v>258</v>
      </c>
      <c r="BD94" s="79" t="s">
        <v>258</v>
      </c>
      <c r="BE94" s="79" t="s">
        <v>258</v>
      </c>
      <c r="BF94" s="79" t="s">
        <v>258</v>
      </c>
      <c r="BG94" s="79" t="s">
        <v>258</v>
      </c>
      <c r="BH94" s="79" t="s">
        <v>260</v>
      </c>
      <c r="BI94" s="79" t="s">
        <v>260</v>
      </c>
      <c r="BJ94" s="79" t="s">
        <v>260</v>
      </c>
      <c r="BK94" s="79" t="s">
        <v>260</v>
      </c>
      <c r="BL94" s="79" t="s">
        <v>260</v>
      </c>
      <c r="BM94" s="79" t="s">
        <v>260</v>
      </c>
      <c r="BN94" s="79" t="s">
        <v>260</v>
      </c>
      <c r="BO94" s="79" t="s">
        <v>260</v>
      </c>
      <c r="BP94" s="79" t="s">
        <v>260</v>
      </c>
      <c r="BQ94" s="79" t="s">
        <v>260</v>
      </c>
      <c r="BR94" s="79" t="s">
        <v>264</v>
      </c>
      <c r="BS94" s="79" t="s">
        <v>264</v>
      </c>
      <c r="BT94" s="79" t="s">
        <v>264</v>
      </c>
    </row>
    <row r="95" spans="2:72" x14ac:dyDescent="0.3">
      <c r="B95" s="79">
        <f t="shared" si="4"/>
        <v>224</v>
      </c>
      <c r="C95" s="79" t="s">
        <v>242</v>
      </c>
      <c r="D95" s="79" t="s">
        <v>242</v>
      </c>
      <c r="E95" s="79" t="s">
        <v>242</v>
      </c>
      <c r="F95" s="79" t="s">
        <v>242</v>
      </c>
      <c r="G95" s="79" t="s">
        <v>242</v>
      </c>
      <c r="H95" s="79" t="s">
        <v>242</v>
      </c>
      <c r="I95" s="79" t="s">
        <v>242</v>
      </c>
      <c r="J95" s="79" t="s">
        <v>242</v>
      </c>
      <c r="K95" s="79" t="s">
        <v>242</v>
      </c>
      <c r="L95" s="79" t="s">
        <v>242</v>
      </c>
      <c r="M95" s="79" t="s">
        <v>242</v>
      </c>
      <c r="N95" s="79" t="s">
        <v>241</v>
      </c>
      <c r="O95" s="79" t="s">
        <v>241</v>
      </c>
      <c r="P95" s="79" t="s">
        <v>241</v>
      </c>
      <c r="Q95" s="79" t="s">
        <v>241</v>
      </c>
      <c r="R95" s="79" t="s">
        <v>241</v>
      </c>
      <c r="S95" s="79" t="s">
        <v>241</v>
      </c>
      <c r="T95" s="79" t="s">
        <v>241</v>
      </c>
      <c r="U95" s="79" t="s">
        <v>241</v>
      </c>
      <c r="V95" s="79" t="s">
        <v>241</v>
      </c>
      <c r="W95" s="79" t="s">
        <v>246</v>
      </c>
      <c r="X95" s="79" t="s">
        <v>246</v>
      </c>
      <c r="Y95" s="79" t="s">
        <v>246</v>
      </c>
      <c r="Z95" s="79" t="s">
        <v>246</v>
      </c>
      <c r="AA95" s="79" t="s">
        <v>246</v>
      </c>
      <c r="AB95" s="79" t="s">
        <v>246</v>
      </c>
      <c r="AC95" s="79" t="s">
        <v>246</v>
      </c>
      <c r="AD95" s="79" t="s">
        <v>246</v>
      </c>
      <c r="AE95" s="79" t="s">
        <v>246</v>
      </c>
      <c r="AF95" s="79" t="s">
        <v>246</v>
      </c>
      <c r="AG95" s="79" t="s">
        <v>248</v>
      </c>
      <c r="AH95" s="79" t="s">
        <v>248</v>
      </c>
      <c r="AI95" s="79" t="s">
        <v>248</v>
      </c>
      <c r="AJ95" s="79" t="s">
        <v>248</v>
      </c>
      <c r="AK95" s="79" t="s">
        <v>248</v>
      </c>
      <c r="AL95" s="79" t="s">
        <v>248</v>
      </c>
      <c r="AM95" s="79" t="s">
        <v>248</v>
      </c>
      <c r="AN95" s="79" t="s">
        <v>248</v>
      </c>
      <c r="AO95" s="79" t="s">
        <v>248</v>
      </c>
      <c r="AP95" s="79" t="s">
        <v>252</v>
      </c>
      <c r="AQ95" s="79" t="s">
        <v>252</v>
      </c>
      <c r="AR95" s="79" t="s">
        <v>252</v>
      </c>
      <c r="AS95" s="79" t="s">
        <v>252</v>
      </c>
      <c r="AT95" s="79" t="s">
        <v>252</v>
      </c>
      <c r="AU95" s="79" t="s">
        <v>252</v>
      </c>
      <c r="AV95" s="79" t="s">
        <v>252</v>
      </c>
      <c r="AW95" s="79" t="s">
        <v>252</v>
      </c>
      <c r="AX95" s="79" t="s">
        <v>252</v>
      </c>
      <c r="AY95" s="79" t="s">
        <v>252</v>
      </c>
      <c r="AZ95" s="79" t="s">
        <v>258</v>
      </c>
      <c r="BA95" s="79" t="s">
        <v>258</v>
      </c>
      <c r="BB95" s="79" t="s">
        <v>258</v>
      </c>
      <c r="BC95" s="79" t="s">
        <v>258</v>
      </c>
      <c r="BD95" s="79" t="s">
        <v>258</v>
      </c>
      <c r="BE95" s="79" t="s">
        <v>258</v>
      </c>
      <c r="BF95" s="79" t="s">
        <v>258</v>
      </c>
      <c r="BG95" s="79" t="s">
        <v>258</v>
      </c>
      <c r="BH95" s="79" t="s">
        <v>258</v>
      </c>
      <c r="BI95" s="79" t="s">
        <v>258</v>
      </c>
      <c r="BJ95" s="79" t="s">
        <v>260</v>
      </c>
      <c r="BK95" s="79" t="s">
        <v>260</v>
      </c>
      <c r="BL95" s="79" t="s">
        <v>260</v>
      </c>
      <c r="BM95" s="79" t="s">
        <v>260</v>
      </c>
      <c r="BN95" s="79" t="s">
        <v>260</v>
      </c>
      <c r="BO95" s="79" t="s">
        <v>260</v>
      </c>
      <c r="BP95" s="79" t="s">
        <v>260</v>
      </c>
      <c r="BQ95" s="79" t="s">
        <v>260</v>
      </c>
      <c r="BR95" s="79" t="s">
        <v>260</v>
      </c>
      <c r="BS95" s="79" t="s">
        <v>264</v>
      </c>
      <c r="BT95" s="79" t="s">
        <v>264</v>
      </c>
    </row>
    <row r="96" spans="2:72" x14ac:dyDescent="0.3">
      <c r="B96" s="79">
        <f t="shared" si="4"/>
        <v>226</v>
      </c>
      <c r="C96" s="79" t="s">
        <v>242</v>
      </c>
      <c r="D96" s="79" t="s">
        <v>242</v>
      </c>
      <c r="E96" s="79" t="s">
        <v>242</v>
      </c>
      <c r="F96" s="79" t="s">
        <v>242</v>
      </c>
      <c r="G96" s="79" t="s">
        <v>242</v>
      </c>
      <c r="H96" s="79" t="s">
        <v>242</v>
      </c>
      <c r="I96" s="79" t="s">
        <v>242</v>
      </c>
      <c r="J96" s="79" t="s">
        <v>242</v>
      </c>
      <c r="K96" s="79" t="s">
        <v>242</v>
      </c>
      <c r="L96" s="79" t="s">
        <v>242</v>
      </c>
      <c r="M96" s="79" t="s">
        <v>242</v>
      </c>
      <c r="N96" s="79" t="s">
        <v>241</v>
      </c>
      <c r="O96" s="79" t="s">
        <v>241</v>
      </c>
      <c r="P96" s="79" t="s">
        <v>241</v>
      </c>
      <c r="Q96" s="79" t="s">
        <v>241</v>
      </c>
      <c r="R96" s="79" t="s">
        <v>241</v>
      </c>
      <c r="S96" s="79" t="s">
        <v>241</v>
      </c>
      <c r="T96" s="79" t="s">
        <v>241</v>
      </c>
      <c r="U96" s="79" t="s">
        <v>241</v>
      </c>
      <c r="V96" s="79" t="s">
        <v>241</v>
      </c>
      <c r="W96" s="79" t="s">
        <v>241</v>
      </c>
      <c r="X96" s="79" t="s">
        <v>246</v>
      </c>
      <c r="Y96" s="79" t="s">
        <v>246</v>
      </c>
      <c r="Z96" s="79" t="s">
        <v>246</v>
      </c>
      <c r="AA96" s="79" t="s">
        <v>246</v>
      </c>
      <c r="AB96" s="79" t="s">
        <v>246</v>
      </c>
      <c r="AC96" s="79" t="s">
        <v>246</v>
      </c>
      <c r="AD96" s="79" t="s">
        <v>246</v>
      </c>
      <c r="AE96" s="79" t="s">
        <v>246</v>
      </c>
      <c r="AF96" s="79" t="s">
        <v>246</v>
      </c>
      <c r="AG96" s="79" t="s">
        <v>246</v>
      </c>
      <c r="AH96" s="79" t="s">
        <v>248</v>
      </c>
      <c r="AI96" s="79" t="s">
        <v>248</v>
      </c>
      <c r="AJ96" s="79" t="s">
        <v>248</v>
      </c>
      <c r="AK96" s="79" t="s">
        <v>248</v>
      </c>
      <c r="AL96" s="79" t="s">
        <v>248</v>
      </c>
      <c r="AM96" s="79" t="s">
        <v>248</v>
      </c>
      <c r="AN96" s="79" t="s">
        <v>248</v>
      </c>
      <c r="AO96" s="79" t="s">
        <v>248</v>
      </c>
      <c r="AP96" s="79" t="s">
        <v>248</v>
      </c>
      <c r="AQ96" s="79" t="s">
        <v>252</v>
      </c>
      <c r="AR96" s="79" t="s">
        <v>252</v>
      </c>
      <c r="AS96" s="79" t="s">
        <v>252</v>
      </c>
      <c r="AT96" s="79" t="s">
        <v>252</v>
      </c>
      <c r="AU96" s="79" t="s">
        <v>252</v>
      </c>
      <c r="AV96" s="79" t="s">
        <v>252</v>
      </c>
      <c r="AW96" s="79" t="s">
        <v>252</v>
      </c>
      <c r="AX96" s="79" t="s">
        <v>252</v>
      </c>
      <c r="AY96" s="79" t="s">
        <v>252</v>
      </c>
      <c r="AZ96" s="79" t="s">
        <v>252</v>
      </c>
      <c r="BA96" s="79" t="s">
        <v>258</v>
      </c>
      <c r="BB96" s="79" t="s">
        <v>258</v>
      </c>
      <c r="BC96" s="79" t="s">
        <v>258</v>
      </c>
      <c r="BD96" s="79" t="s">
        <v>258</v>
      </c>
      <c r="BE96" s="79" t="s">
        <v>258</v>
      </c>
      <c r="BF96" s="79" t="s">
        <v>258</v>
      </c>
      <c r="BG96" s="79" t="s">
        <v>258</v>
      </c>
      <c r="BH96" s="79" t="s">
        <v>258</v>
      </c>
      <c r="BI96" s="79" t="s">
        <v>258</v>
      </c>
      <c r="BJ96" s="79" t="s">
        <v>260</v>
      </c>
      <c r="BK96" s="79" t="s">
        <v>260</v>
      </c>
      <c r="BL96" s="79" t="s">
        <v>260</v>
      </c>
      <c r="BM96" s="79" t="s">
        <v>260</v>
      </c>
      <c r="BN96" s="79" t="s">
        <v>260</v>
      </c>
      <c r="BO96" s="79" t="s">
        <v>260</v>
      </c>
      <c r="BP96" s="79" t="s">
        <v>260</v>
      </c>
      <c r="BQ96" s="79" t="s">
        <v>260</v>
      </c>
      <c r="BR96" s="79" t="s">
        <v>260</v>
      </c>
      <c r="BS96" s="79" t="s">
        <v>260</v>
      </c>
      <c r="BT96" s="79" t="s">
        <v>264</v>
      </c>
    </row>
    <row r="97" spans="2:72" x14ac:dyDescent="0.3">
      <c r="B97" s="79">
        <f t="shared" si="4"/>
        <v>228</v>
      </c>
      <c r="C97" s="79" t="s">
        <v>243</v>
      </c>
      <c r="D97" s="79" t="s">
        <v>242</v>
      </c>
      <c r="E97" s="79" t="s">
        <v>242</v>
      </c>
      <c r="F97" s="79" t="s">
        <v>242</v>
      </c>
      <c r="G97" s="79" t="s">
        <v>242</v>
      </c>
      <c r="H97" s="79" t="s">
        <v>242</v>
      </c>
      <c r="I97" s="79" t="s">
        <v>242</v>
      </c>
      <c r="J97" s="79" t="s">
        <v>242</v>
      </c>
      <c r="K97" s="79" t="s">
        <v>242</v>
      </c>
      <c r="L97" s="79" t="s">
        <v>242</v>
      </c>
      <c r="M97" s="79" t="s">
        <v>242</v>
      </c>
      <c r="N97" s="79" t="s">
        <v>241</v>
      </c>
      <c r="O97" s="79" t="s">
        <v>241</v>
      </c>
      <c r="P97" s="79" t="s">
        <v>241</v>
      </c>
      <c r="Q97" s="79" t="s">
        <v>241</v>
      </c>
      <c r="R97" s="79" t="s">
        <v>241</v>
      </c>
      <c r="S97" s="79" t="s">
        <v>241</v>
      </c>
      <c r="T97" s="79" t="s">
        <v>241</v>
      </c>
      <c r="U97" s="79" t="s">
        <v>241</v>
      </c>
      <c r="V97" s="79" t="s">
        <v>241</v>
      </c>
      <c r="W97" s="79" t="s">
        <v>241</v>
      </c>
      <c r="X97" s="79" t="s">
        <v>246</v>
      </c>
      <c r="Y97" s="79" t="s">
        <v>246</v>
      </c>
      <c r="Z97" s="79" t="s">
        <v>246</v>
      </c>
      <c r="AA97" s="79" t="s">
        <v>246</v>
      </c>
      <c r="AB97" s="79" t="s">
        <v>246</v>
      </c>
      <c r="AC97" s="79" t="s">
        <v>246</v>
      </c>
      <c r="AD97" s="79" t="s">
        <v>246</v>
      </c>
      <c r="AE97" s="79" t="s">
        <v>246</v>
      </c>
      <c r="AF97" s="79" t="s">
        <v>246</v>
      </c>
      <c r="AG97" s="79" t="s">
        <v>248</v>
      </c>
      <c r="AH97" s="79" t="s">
        <v>248</v>
      </c>
      <c r="AI97" s="79" t="s">
        <v>248</v>
      </c>
      <c r="AJ97" s="79" t="s">
        <v>248</v>
      </c>
      <c r="AK97" s="79" t="s">
        <v>248</v>
      </c>
      <c r="AL97" s="79" t="s">
        <v>248</v>
      </c>
      <c r="AM97" s="79" t="s">
        <v>248</v>
      </c>
      <c r="AN97" s="79" t="s">
        <v>248</v>
      </c>
      <c r="AO97" s="79" t="s">
        <v>248</v>
      </c>
      <c r="AP97" s="79" t="s">
        <v>248</v>
      </c>
      <c r="AQ97" s="79" t="s">
        <v>252</v>
      </c>
      <c r="AR97" s="79" t="s">
        <v>252</v>
      </c>
      <c r="AS97" s="79" t="s">
        <v>252</v>
      </c>
      <c r="AT97" s="79" t="s">
        <v>252</v>
      </c>
      <c r="AU97" s="79" t="s">
        <v>252</v>
      </c>
      <c r="AV97" s="79" t="s">
        <v>252</v>
      </c>
      <c r="AW97" s="79" t="s">
        <v>252</v>
      </c>
      <c r="AX97" s="79" t="s">
        <v>252</v>
      </c>
      <c r="AY97" s="79" t="s">
        <v>252</v>
      </c>
      <c r="AZ97" s="79" t="s">
        <v>252</v>
      </c>
      <c r="BA97" s="79" t="s">
        <v>258</v>
      </c>
      <c r="BB97" s="79" t="s">
        <v>258</v>
      </c>
      <c r="BC97" s="79" t="s">
        <v>258</v>
      </c>
      <c r="BD97" s="79" t="s">
        <v>258</v>
      </c>
      <c r="BE97" s="79" t="s">
        <v>258</v>
      </c>
      <c r="BF97" s="79" t="s">
        <v>258</v>
      </c>
      <c r="BG97" s="79" t="s">
        <v>258</v>
      </c>
      <c r="BH97" s="79" t="s">
        <v>258</v>
      </c>
      <c r="BI97" s="79" t="s">
        <v>258</v>
      </c>
      <c r="BJ97" s="79" t="s">
        <v>270</v>
      </c>
      <c r="BK97" s="79" t="s">
        <v>260</v>
      </c>
      <c r="BL97" s="79" t="s">
        <v>260</v>
      </c>
      <c r="BM97" s="79" t="s">
        <v>260</v>
      </c>
      <c r="BN97" s="79" t="s">
        <v>260</v>
      </c>
      <c r="BO97" s="79" t="s">
        <v>260</v>
      </c>
      <c r="BP97" s="79" t="s">
        <v>260</v>
      </c>
      <c r="BQ97" s="79" t="s">
        <v>260</v>
      </c>
      <c r="BR97" s="79" t="s">
        <v>260</v>
      </c>
      <c r="BS97" s="79" t="s">
        <v>260</v>
      </c>
      <c r="BT97" s="79" t="s">
        <v>260</v>
      </c>
    </row>
    <row r="98" spans="2:72" x14ac:dyDescent="0.3">
      <c r="B98" s="79">
        <f t="shared" si="4"/>
        <v>230</v>
      </c>
      <c r="C98" s="79" t="s">
        <v>243</v>
      </c>
      <c r="D98" s="79" t="s">
        <v>242</v>
      </c>
      <c r="E98" s="79" t="s">
        <v>242</v>
      </c>
      <c r="F98" s="79" t="s">
        <v>242</v>
      </c>
      <c r="G98" s="79" t="s">
        <v>242</v>
      </c>
      <c r="H98" s="79" t="s">
        <v>242</v>
      </c>
      <c r="I98" s="79" t="s">
        <v>242</v>
      </c>
      <c r="J98" s="79" t="s">
        <v>242</v>
      </c>
      <c r="K98" s="79" t="s">
        <v>242</v>
      </c>
      <c r="L98" s="79" t="s">
        <v>242</v>
      </c>
      <c r="M98" s="79" t="s">
        <v>242</v>
      </c>
      <c r="N98" s="79" t="s">
        <v>241</v>
      </c>
      <c r="O98" s="79" t="s">
        <v>241</v>
      </c>
      <c r="P98" s="79" t="s">
        <v>241</v>
      </c>
      <c r="Q98" s="79" t="s">
        <v>241</v>
      </c>
      <c r="R98" s="79" t="s">
        <v>241</v>
      </c>
      <c r="S98" s="79" t="s">
        <v>241</v>
      </c>
      <c r="T98" s="79" t="s">
        <v>241</v>
      </c>
      <c r="U98" s="79" t="s">
        <v>241</v>
      </c>
      <c r="V98" s="79" t="s">
        <v>241</v>
      </c>
      <c r="W98" s="79" t="s">
        <v>241</v>
      </c>
      <c r="X98" s="79" t="s">
        <v>246</v>
      </c>
      <c r="Y98" s="79" t="s">
        <v>246</v>
      </c>
      <c r="Z98" s="79" t="s">
        <v>246</v>
      </c>
      <c r="AA98" s="79" t="s">
        <v>246</v>
      </c>
      <c r="AB98" s="79" t="s">
        <v>246</v>
      </c>
      <c r="AC98" s="79" t="s">
        <v>246</v>
      </c>
      <c r="AD98" s="79" t="s">
        <v>246</v>
      </c>
      <c r="AE98" s="79" t="s">
        <v>246</v>
      </c>
      <c r="AF98" s="79" t="s">
        <v>246</v>
      </c>
      <c r="AG98" s="79" t="s">
        <v>256</v>
      </c>
      <c r="AH98" s="79" t="s">
        <v>248</v>
      </c>
      <c r="AI98" s="79" t="s">
        <v>248</v>
      </c>
      <c r="AJ98" s="79" t="s">
        <v>248</v>
      </c>
      <c r="AK98" s="79" t="s">
        <v>248</v>
      </c>
      <c r="AL98" s="79" t="s">
        <v>248</v>
      </c>
      <c r="AM98" s="79" t="s">
        <v>248</v>
      </c>
      <c r="AN98" s="79" t="s">
        <v>248</v>
      </c>
      <c r="AO98" s="79" t="s">
        <v>248</v>
      </c>
      <c r="AP98" s="79" t="s">
        <v>248</v>
      </c>
      <c r="AQ98" s="79" t="s">
        <v>261</v>
      </c>
      <c r="AR98" s="79" t="s">
        <v>252</v>
      </c>
      <c r="AS98" s="79" t="s">
        <v>252</v>
      </c>
      <c r="AT98" s="79" t="s">
        <v>252</v>
      </c>
      <c r="AU98" s="79" t="s">
        <v>252</v>
      </c>
      <c r="AV98" s="79" t="s">
        <v>252</v>
      </c>
      <c r="AW98" s="79" t="s">
        <v>252</v>
      </c>
      <c r="AX98" s="79" t="s">
        <v>252</v>
      </c>
      <c r="AY98" s="79" t="s">
        <v>252</v>
      </c>
      <c r="AZ98" s="79" t="s">
        <v>252</v>
      </c>
      <c r="BA98" s="79" t="s">
        <v>266</v>
      </c>
      <c r="BB98" s="79" t="s">
        <v>258</v>
      </c>
      <c r="BC98" s="79" t="s">
        <v>258</v>
      </c>
      <c r="BD98" s="79" t="s">
        <v>258</v>
      </c>
      <c r="BE98" s="79" t="s">
        <v>258</v>
      </c>
      <c r="BF98" s="79" t="s">
        <v>258</v>
      </c>
      <c r="BG98" s="79" t="s">
        <v>258</v>
      </c>
      <c r="BH98" s="79" t="s">
        <v>258</v>
      </c>
      <c r="BI98" s="79" t="s">
        <v>258</v>
      </c>
      <c r="BJ98" s="79" t="s">
        <v>270</v>
      </c>
      <c r="BK98" s="79" t="s">
        <v>270</v>
      </c>
      <c r="BL98" s="79" t="s">
        <v>260</v>
      </c>
      <c r="BM98" s="79" t="s">
        <v>260</v>
      </c>
      <c r="BN98" s="79" t="s">
        <v>260</v>
      </c>
      <c r="BO98" s="79" t="s">
        <v>260</v>
      </c>
      <c r="BP98" s="79" t="s">
        <v>260</v>
      </c>
      <c r="BQ98" s="79" t="s">
        <v>260</v>
      </c>
      <c r="BR98" s="79" t="s">
        <v>260</v>
      </c>
      <c r="BS98" s="79" t="s">
        <v>260</v>
      </c>
      <c r="BT98" s="79" t="s">
        <v>260</v>
      </c>
    </row>
    <row r="99" spans="2:72" x14ac:dyDescent="0.3">
      <c r="B99" s="79">
        <f t="shared" si="4"/>
        <v>232</v>
      </c>
      <c r="C99" s="79" t="s">
        <v>243</v>
      </c>
      <c r="D99" s="79" t="s">
        <v>243</v>
      </c>
      <c r="E99" s="79" t="s">
        <v>242</v>
      </c>
      <c r="F99" s="79" t="s">
        <v>242</v>
      </c>
      <c r="G99" s="79" t="s">
        <v>242</v>
      </c>
      <c r="H99" s="79" t="s">
        <v>242</v>
      </c>
      <c r="I99" s="79" t="s">
        <v>242</v>
      </c>
      <c r="J99" s="79" t="s">
        <v>242</v>
      </c>
      <c r="K99" s="79" t="s">
        <v>242</v>
      </c>
      <c r="L99" s="79" t="s">
        <v>242</v>
      </c>
      <c r="M99" s="79" t="s">
        <v>242</v>
      </c>
      <c r="N99" s="79" t="s">
        <v>250</v>
      </c>
      <c r="O99" s="79" t="s">
        <v>241</v>
      </c>
      <c r="P99" s="79" t="s">
        <v>241</v>
      </c>
      <c r="Q99" s="79" t="s">
        <v>241</v>
      </c>
      <c r="R99" s="79" t="s">
        <v>241</v>
      </c>
      <c r="S99" s="79" t="s">
        <v>241</v>
      </c>
      <c r="T99" s="79" t="s">
        <v>241</v>
      </c>
      <c r="U99" s="79" t="s">
        <v>241</v>
      </c>
      <c r="V99" s="79" t="s">
        <v>241</v>
      </c>
      <c r="W99" s="79" t="s">
        <v>241</v>
      </c>
      <c r="X99" s="79" t="s">
        <v>253</v>
      </c>
      <c r="Y99" s="79" t="s">
        <v>246</v>
      </c>
      <c r="Z99" s="79" t="s">
        <v>246</v>
      </c>
      <c r="AA99" s="79" t="s">
        <v>246</v>
      </c>
      <c r="AB99" s="79" t="s">
        <v>246</v>
      </c>
      <c r="AC99" s="79" t="s">
        <v>246</v>
      </c>
      <c r="AD99" s="79" t="s">
        <v>246</v>
      </c>
      <c r="AE99" s="79" t="s">
        <v>246</v>
      </c>
      <c r="AF99" s="79" t="s">
        <v>246</v>
      </c>
      <c r="AG99" s="79" t="s">
        <v>256</v>
      </c>
      <c r="AH99" s="79" t="s">
        <v>256</v>
      </c>
      <c r="AI99" s="79" t="s">
        <v>248</v>
      </c>
      <c r="AJ99" s="79" t="s">
        <v>248</v>
      </c>
      <c r="AK99" s="79" t="s">
        <v>248</v>
      </c>
      <c r="AL99" s="79" t="s">
        <v>248</v>
      </c>
      <c r="AM99" s="79" t="s">
        <v>248</v>
      </c>
      <c r="AN99" s="79" t="s">
        <v>248</v>
      </c>
      <c r="AO99" s="79" t="s">
        <v>248</v>
      </c>
      <c r="AP99" s="79" t="s">
        <v>248</v>
      </c>
      <c r="AQ99" s="79" t="s">
        <v>261</v>
      </c>
      <c r="AR99" s="79" t="s">
        <v>261</v>
      </c>
      <c r="AS99" s="79" t="s">
        <v>252</v>
      </c>
      <c r="AT99" s="79" t="s">
        <v>252</v>
      </c>
      <c r="AU99" s="79" t="s">
        <v>252</v>
      </c>
      <c r="AV99" s="79" t="s">
        <v>252</v>
      </c>
      <c r="AW99" s="79" t="s">
        <v>252</v>
      </c>
      <c r="AX99" s="79" t="s">
        <v>252</v>
      </c>
      <c r="AY99" s="79" t="s">
        <v>252</v>
      </c>
      <c r="AZ99" s="79" t="s">
        <v>265</v>
      </c>
      <c r="BA99" s="79" t="s">
        <v>265</v>
      </c>
      <c r="BB99" s="79" t="s">
        <v>266</v>
      </c>
      <c r="BC99" s="79" t="s">
        <v>258</v>
      </c>
      <c r="BD99" s="79" t="s">
        <v>258</v>
      </c>
      <c r="BE99" s="79" t="s">
        <v>258</v>
      </c>
      <c r="BF99" s="79" t="s">
        <v>258</v>
      </c>
      <c r="BG99" s="79" t="s">
        <v>258</v>
      </c>
      <c r="BH99" s="79" t="s">
        <v>258</v>
      </c>
      <c r="BI99" s="79" t="s">
        <v>258</v>
      </c>
      <c r="BJ99" s="79" t="s">
        <v>270</v>
      </c>
      <c r="BK99" s="79" t="s">
        <v>270</v>
      </c>
      <c r="BL99" s="79" t="s">
        <v>270</v>
      </c>
      <c r="BM99" s="79" t="s">
        <v>260</v>
      </c>
      <c r="BN99" s="79" t="s">
        <v>260</v>
      </c>
      <c r="BO99" s="79" t="s">
        <v>260</v>
      </c>
      <c r="BP99" s="79" t="s">
        <v>260</v>
      </c>
      <c r="BQ99" s="79" t="s">
        <v>260</v>
      </c>
      <c r="BR99" s="79" t="s">
        <v>260</v>
      </c>
      <c r="BS99" s="79" t="s">
        <v>260</v>
      </c>
      <c r="BT99" s="79" t="s">
        <v>260</v>
      </c>
    </row>
    <row r="100" spans="2:72" x14ac:dyDescent="0.3">
      <c r="B100" s="79">
        <f t="shared" si="4"/>
        <v>234</v>
      </c>
      <c r="C100" s="79" t="s">
        <v>243</v>
      </c>
      <c r="D100" s="79" t="s">
        <v>243</v>
      </c>
      <c r="E100" s="79" t="s">
        <v>243</v>
      </c>
      <c r="F100" s="79" t="s">
        <v>242</v>
      </c>
      <c r="G100" s="79" t="s">
        <v>242</v>
      </c>
      <c r="H100" s="79" t="s">
        <v>242</v>
      </c>
      <c r="I100" s="79" t="s">
        <v>242</v>
      </c>
      <c r="J100" s="79" t="s">
        <v>242</v>
      </c>
      <c r="K100" s="79" t="s">
        <v>242</v>
      </c>
      <c r="L100" s="79" t="s">
        <v>242</v>
      </c>
      <c r="M100" s="79" t="s">
        <v>242</v>
      </c>
      <c r="N100" s="79" t="s">
        <v>249</v>
      </c>
      <c r="O100" s="79" t="s">
        <v>250</v>
      </c>
      <c r="P100" s="79" t="s">
        <v>241</v>
      </c>
      <c r="Q100" s="79" t="s">
        <v>241</v>
      </c>
      <c r="R100" s="79" t="s">
        <v>241</v>
      </c>
      <c r="S100" s="79" t="s">
        <v>241</v>
      </c>
      <c r="T100" s="79" t="s">
        <v>241</v>
      </c>
      <c r="U100" s="79" t="s">
        <v>241</v>
      </c>
      <c r="V100" s="79" t="s">
        <v>241</v>
      </c>
      <c r="W100" s="79" t="s">
        <v>253</v>
      </c>
      <c r="X100" s="79" t="s">
        <v>253</v>
      </c>
      <c r="Y100" s="79" t="s">
        <v>253</v>
      </c>
      <c r="Z100" s="79" t="s">
        <v>246</v>
      </c>
      <c r="AA100" s="79" t="s">
        <v>246</v>
      </c>
      <c r="AB100" s="79" t="s">
        <v>246</v>
      </c>
      <c r="AC100" s="79" t="s">
        <v>246</v>
      </c>
      <c r="AD100" s="79" t="s">
        <v>246</v>
      </c>
      <c r="AE100" s="79" t="s">
        <v>246</v>
      </c>
      <c r="AF100" s="79" t="s">
        <v>246</v>
      </c>
      <c r="AG100" s="79" t="s">
        <v>256</v>
      </c>
      <c r="AH100" s="79" t="s">
        <v>256</v>
      </c>
      <c r="AI100" s="79" t="s">
        <v>256</v>
      </c>
      <c r="AJ100" s="79" t="s">
        <v>248</v>
      </c>
      <c r="AK100" s="79" t="s">
        <v>248</v>
      </c>
      <c r="AL100" s="79" t="s">
        <v>248</v>
      </c>
      <c r="AM100" s="79" t="s">
        <v>248</v>
      </c>
      <c r="AN100" s="79" t="s">
        <v>248</v>
      </c>
      <c r="AO100" s="79" t="s">
        <v>248</v>
      </c>
      <c r="AP100" s="79" t="s">
        <v>248</v>
      </c>
      <c r="AQ100" s="79" t="s">
        <v>261</v>
      </c>
      <c r="AR100" s="79" t="s">
        <v>261</v>
      </c>
      <c r="AS100" s="79" t="s">
        <v>261</v>
      </c>
      <c r="AT100" s="79" t="s">
        <v>261</v>
      </c>
      <c r="AU100" s="79" t="s">
        <v>252</v>
      </c>
      <c r="AV100" s="79" t="s">
        <v>252</v>
      </c>
      <c r="AW100" s="79" t="s">
        <v>252</v>
      </c>
      <c r="AX100" s="79" t="s">
        <v>252</v>
      </c>
      <c r="AY100" s="79" t="s">
        <v>252</v>
      </c>
      <c r="AZ100" s="79" t="s">
        <v>265</v>
      </c>
      <c r="BA100" s="79" t="s">
        <v>265</v>
      </c>
      <c r="BB100" s="79" t="s">
        <v>265</v>
      </c>
      <c r="BC100" s="79" t="s">
        <v>266</v>
      </c>
      <c r="BD100" s="79" t="s">
        <v>266</v>
      </c>
      <c r="BE100" s="79" t="s">
        <v>258</v>
      </c>
      <c r="BF100" s="79" t="s">
        <v>258</v>
      </c>
      <c r="BG100" s="79" t="s">
        <v>258</v>
      </c>
      <c r="BH100" s="79" t="s">
        <v>258</v>
      </c>
      <c r="BI100" s="79" t="s">
        <v>258</v>
      </c>
      <c r="BJ100" s="79" t="s">
        <v>266</v>
      </c>
      <c r="BK100" s="79" t="s">
        <v>270</v>
      </c>
      <c r="BL100" s="79" t="s">
        <v>270</v>
      </c>
      <c r="BM100" s="79" t="s">
        <v>270</v>
      </c>
      <c r="BN100" s="79" t="s">
        <v>270</v>
      </c>
      <c r="BO100" s="79" t="s">
        <v>260</v>
      </c>
      <c r="BP100" s="79" t="s">
        <v>260</v>
      </c>
      <c r="BQ100" s="79" t="s">
        <v>260</v>
      </c>
      <c r="BR100" s="79" t="s">
        <v>260</v>
      </c>
      <c r="BS100" s="79" t="s">
        <v>260</v>
      </c>
      <c r="BT100" s="79" t="s">
        <v>260</v>
      </c>
    </row>
    <row r="101" spans="2:72" x14ac:dyDescent="0.3">
      <c r="B101" s="79">
        <f t="shared" si="4"/>
        <v>236</v>
      </c>
      <c r="C101" s="79" t="s">
        <v>243</v>
      </c>
      <c r="D101" s="79" t="s">
        <v>243</v>
      </c>
      <c r="E101" s="79" t="s">
        <v>243</v>
      </c>
      <c r="F101" s="79" t="s">
        <v>243</v>
      </c>
      <c r="G101" s="79" t="s">
        <v>242</v>
      </c>
      <c r="H101" s="79" t="s">
        <v>242</v>
      </c>
      <c r="I101" s="79" t="s">
        <v>242</v>
      </c>
      <c r="J101" s="79" t="s">
        <v>242</v>
      </c>
      <c r="K101" s="79" t="s">
        <v>242</v>
      </c>
      <c r="L101" s="79" t="s">
        <v>242</v>
      </c>
      <c r="M101" s="79" t="s">
        <v>242</v>
      </c>
      <c r="N101" s="79" t="s">
        <v>249</v>
      </c>
      <c r="O101" s="79" t="s">
        <v>249</v>
      </c>
      <c r="P101" s="79" t="s">
        <v>250</v>
      </c>
      <c r="Q101" s="79" t="s">
        <v>241</v>
      </c>
      <c r="R101" s="79" t="s">
        <v>241</v>
      </c>
      <c r="S101" s="79" t="s">
        <v>241</v>
      </c>
      <c r="T101" s="79" t="s">
        <v>241</v>
      </c>
      <c r="U101" s="79" t="s">
        <v>241</v>
      </c>
      <c r="V101" s="79" t="s">
        <v>241</v>
      </c>
      <c r="W101" s="79" t="s">
        <v>250</v>
      </c>
      <c r="X101" s="79" t="s">
        <v>253</v>
      </c>
      <c r="Y101" s="79" t="s">
        <v>253</v>
      </c>
      <c r="Z101" s="79" t="s">
        <v>253</v>
      </c>
      <c r="AA101" s="79" t="s">
        <v>246</v>
      </c>
      <c r="AB101" s="79" t="s">
        <v>246</v>
      </c>
      <c r="AC101" s="79" t="s">
        <v>246</v>
      </c>
      <c r="AD101" s="79" t="s">
        <v>246</v>
      </c>
      <c r="AE101" s="79" t="s">
        <v>246</v>
      </c>
      <c r="AF101" s="79" t="s">
        <v>246</v>
      </c>
      <c r="AG101" s="79" t="s">
        <v>256</v>
      </c>
      <c r="AH101" s="79" t="s">
        <v>256</v>
      </c>
      <c r="AI101" s="79" t="s">
        <v>256</v>
      </c>
      <c r="AJ101" s="79" t="s">
        <v>256</v>
      </c>
      <c r="AK101" s="79" t="s">
        <v>256</v>
      </c>
      <c r="AL101" s="79" t="s">
        <v>248</v>
      </c>
      <c r="AM101" s="79" t="s">
        <v>248</v>
      </c>
      <c r="AN101" s="79" t="s">
        <v>248</v>
      </c>
      <c r="AO101" s="79" t="s">
        <v>248</v>
      </c>
      <c r="AP101" s="79" t="s">
        <v>248</v>
      </c>
      <c r="AQ101" s="79" t="s">
        <v>261</v>
      </c>
      <c r="AR101" s="79" t="s">
        <v>261</v>
      </c>
      <c r="AS101" s="79" t="s">
        <v>261</v>
      </c>
      <c r="AT101" s="79" t="s">
        <v>261</v>
      </c>
      <c r="AU101" s="79" t="s">
        <v>261</v>
      </c>
      <c r="AV101" s="79" t="s">
        <v>252</v>
      </c>
      <c r="AW101" s="79" t="s">
        <v>252</v>
      </c>
      <c r="AX101" s="79" t="s">
        <v>252</v>
      </c>
      <c r="AY101" s="79" t="s">
        <v>252</v>
      </c>
      <c r="AZ101" s="79" t="s">
        <v>265</v>
      </c>
      <c r="BA101" s="79" t="s">
        <v>265</v>
      </c>
      <c r="BB101" s="79" t="s">
        <v>265</v>
      </c>
      <c r="BC101" s="79" t="s">
        <v>265</v>
      </c>
      <c r="BD101" s="79" t="s">
        <v>265</v>
      </c>
      <c r="BE101" s="79" t="s">
        <v>266</v>
      </c>
      <c r="BF101" s="79" t="s">
        <v>258</v>
      </c>
      <c r="BG101" s="79" t="s">
        <v>258</v>
      </c>
      <c r="BH101" s="79" t="s">
        <v>258</v>
      </c>
      <c r="BI101" s="79" t="s">
        <v>258</v>
      </c>
      <c r="BJ101" s="79" t="s">
        <v>266</v>
      </c>
      <c r="BK101" s="79" t="s">
        <v>266</v>
      </c>
      <c r="BL101" s="79" t="s">
        <v>266</v>
      </c>
      <c r="BM101" s="79" t="s">
        <v>270</v>
      </c>
      <c r="BN101" s="79" t="s">
        <v>270</v>
      </c>
      <c r="BO101" s="79" t="s">
        <v>270</v>
      </c>
      <c r="BP101" s="79" t="s">
        <v>260</v>
      </c>
      <c r="BQ101" s="79" t="s">
        <v>260</v>
      </c>
      <c r="BR101" s="79" t="s">
        <v>260</v>
      </c>
      <c r="BS101" s="79" t="s">
        <v>270</v>
      </c>
      <c r="BT101" s="79" t="s">
        <v>270</v>
      </c>
    </row>
    <row r="102" spans="2:72" x14ac:dyDescent="0.3">
      <c r="B102" s="79">
        <f t="shared" si="4"/>
        <v>238</v>
      </c>
      <c r="C102" s="79" t="s">
        <v>243</v>
      </c>
      <c r="D102" s="79" t="s">
        <v>243</v>
      </c>
      <c r="E102" s="79" t="s">
        <v>243</v>
      </c>
      <c r="F102" s="79" t="s">
        <v>243</v>
      </c>
      <c r="G102" s="79" t="s">
        <v>243</v>
      </c>
      <c r="H102" s="79" t="s">
        <v>242</v>
      </c>
      <c r="I102" s="79" t="s">
        <v>242</v>
      </c>
      <c r="J102" s="79" t="s">
        <v>242</v>
      </c>
      <c r="K102" s="79" t="s">
        <v>242</v>
      </c>
      <c r="L102" s="79" t="s">
        <v>242</v>
      </c>
      <c r="M102" s="79" t="s">
        <v>242</v>
      </c>
      <c r="N102" s="79" t="s">
        <v>249</v>
      </c>
      <c r="O102" s="79" t="s">
        <v>249</v>
      </c>
      <c r="P102" s="79" t="s">
        <v>249</v>
      </c>
      <c r="Q102" s="79" t="s">
        <v>250</v>
      </c>
      <c r="R102" s="79" t="s">
        <v>241</v>
      </c>
      <c r="S102" s="79" t="s">
        <v>241</v>
      </c>
      <c r="T102" s="79" t="s">
        <v>241</v>
      </c>
      <c r="U102" s="79" t="s">
        <v>241</v>
      </c>
      <c r="V102" s="79" t="s">
        <v>241</v>
      </c>
      <c r="W102" s="79" t="s">
        <v>250</v>
      </c>
      <c r="X102" s="79" t="s">
        <v>250</v>
      </c>
      <c r="Y102" s="79" t="s">
        <v>253</v>
      </c>
      <c r="Z102" s="79" t="s">
        <v>253</v>
      </c>
      <c r="AA102" s="79" t="s">
        <v>253</v>
      </c>
      <c r="AB102" s="79" t="s">
        <v>246</v>
      </c>
      <c r="AC102" s="79" t="s">
        <v>246</v>
      </c>
      <c r="AD102" s="79" t="s">
        <v>246</v>
      </c>
      <c r="AE102" s="79" t="s">
        <v>246</v>
      </c>
      <c r="AF102" s="79" t="s">
        <v>246</v>
      </c>
      <c r="AG102" s="79" t="s">
        <v>256</v>
      </c>
      <c r="AH102" s="79" t="s">
        <v>256</v>
      </c>
      <c r="AI102" s="79" t="s">
        <v>256</v>
      </c>
      <c r="AJ102" s="79" t="s">
        <v>256</v>
      </c>
      <c r="AK102" s="79" t="s">
        <v>256</v>
      </c>
      <c r="AL102" s="79" t="s">
        <v>256</v>
      </c>
      <c r="AM102" s="79" t="s">
        <v>248</v>
      </c>
      <c r="AN102" s="79" t="s">
        <v>248</v>
      </c>
      <c r="AO102" s="79" t="s">
        <v>248</v>
      </c>
      <c r="AP102" s="79" t="s">
        <v>261</v>
      </c>
      <c r="AQ102" s="79" t="s">
        <v>261</v>
      </c>
      <c r="AR102" s="79" t="s">
        <v>261</v>
      </c>
      <c r="AS102" s="79" t="s">
        <v>261</v>
      </c>
      <c r="AT102" s="79" t="s">
        <v>261</v>
      </c>
      <c r="AU102" s="79" t="s">
        <v>261</v>
      </c>
      <c r="AV102" s="79" t="s">
        <v>261</v>
      </c>
      <c r="AW102" s="79" t="s">
        <v>252</v>
      </c>
      <c r="AX102" s="79" t="s">
        <v>252</v>
      </c>
      <c r="AY102" s="79" t="s">
        <v>252</v>
      </c>
      <c r="AZ102" s="79" t="s">
        <v>265</v>
      </c>
      <c r="BA102" s="79" t="s">
        <v>265</v>
      </c>
      <c r="BB102" s="79" t="s">
        <v>265</v>
      </c>
      <c r="BC102" s="79" t="s">
        <v>265</v>
      </c>
      <c r="BD102" s="79" t="s">
        <v>265</v>
      </c>
      <c r="BE102" s="79" t="s">
        <v>265</v>
      </c>
      <c r="BF102" s="79" t="s">
        <v>266</v>
      </c>
      <c r="BG102" s="79" t="s">
        <v>258</v>
      </c>
      <c r="BH102" s="79" t="s">
        <v>258</v>
      </c>
      <c r="BI102" s="79" t="s">
        <v>258</v>
      </c>
      <c r="BJ102" s="79" t="s">
        <v>266</v>
      </c>
      <c r="BK102" s="79" t="s">
        <v>266</v>
      </c>
      <c r="BL102" s="79" t="s">
        <v>266</v>
      </c>
      <c r="BM102" s="79" t="s">
        <v>266</v>
      </c>
      <c r="BN102" s="79" t="s">
        <v>270</v>
      </c>
      <c r="BO102" s="79" t="s">
        <v>270</v>
      </c>
      <c r="BP102" s="79" t="s">
        <v>270</v>
      </c>
      <c r="BQ102" s="79" t="s">
        <v>260</v>
      </c>
      <c r="BR102" s="79" t="s">
        <v>260</v>
      </c>
      <c r="BS102" s="79" t="s">
        <v>270</v>
      </c>
      <c r="BT102" s="79" t="s">
        <v>270</v>
      </c>
    </row>
    <row r="103" spans="2:72" x14ac:dyDescent="0.3">
      <c r="B103" s="79">
        <f t="shared" si="4"/>
        <v>240</v>
      </c>
      <c r="C103" s="79" t="s">
        <v>243</v>
      </c>
      <c r="D103" s="79" t="s">
        <v>243</v>
      </c>
      <c r="E103" s="79" t="s">
        <v>243</v>
      </c>
      <c r="F103" s="79" t="s">
        <v>243</v>
      </c>
      <c r="G103" s="79" t="s">
        <v>243</v>
      </c>
      <c r="H103" s="79" t="s">
        <v>242</v>
      </c>
      <c r="I103" s="79" t="s">
        <v>242</v>
      </c>
      <c r="J103" s="79" t="s">
        <v>242</v>
      </c>
      <c r="K103" s="79" t="s">
        <v>242</v>
      </c>
      <c r="L103" s="79" t="s">
        <v>242</v>
      </c>
      <c r="M103" s="79" t="s">
        <v>249</v>
      </c>
      <c r="N103" s="79" t="s">
        <v>249</v>
      </c>
      <c r="O103" s="79" t="s">
        <v>249</v>
      </c>
      <c r="P103" s="79" t="s">
        <v>249</v>
      </c>
      <c r="Q103" s="79" t="s">
        <v>249</v>
      </c>
      <c r="R103" s="79" t="s">
        <v>250</v>
      </c>
      <c r="S103" s="79" t="s">
        <v>241</v>
      </c>
      <c r="T103" s="79" t="s">
        <v>241</v>
      </c>
      <c r="U103" s="79" t="s">
        <v>241</v>
      </c>
      <c r="V103" s="79" t="s">
        <v>241</v>
      </c>
      <c r="W103" s="79" t="s">
        <v>250</v>
      </c>
      <c r="X103" s="79" t="s">
        <v>250</v>
      </c>
      <c r="Y103" s="79" t="s">
        <v>250</v>
      </c>
      <c r="Z103" s="79" t="s">
        <v>253</v>
      </c>
      <c r="AA103" s="79" t="s">
        <v>253</v>
      </c>
      <c r="AB103" s="79" t="s">
        <v>253</v>
      </c>
      <c r="AC103" s="79" t="s">
        <v>246</v>
      </c>
      <c r="AD103" s="79" t="s">
        <v>246</v>
      </c>
      <c r="AE103" s="79" t="s">
        <v>246</v>
      </c>
      <c r="AF103" s="79" t="s">
        <v>246</v>
      </c>
      <c r="AG103" s="79" t="s">
        <v>253</v>
      </c>
      <c r="AH103" s="79" t="s">
        <v>256</v>
      </c>
      <c r="AI103" s="79" t="s">
        <v>256</v>
      </c>
      <c r="AJ103" s="79" t="s">
        <v>256</v>
      </c>
      <c r="AK103" s="79" t="s">
        <v>256</v>
      </c>
      <c r="AL103" s="79" t="s">
        <v>256</v>
      </c>
      <c r="AM103" s="79" t="s">
        <v>256</v>
      </c>
      <c r="AN103" s="79" t="s">
        <v>248</v>
      </c>
      <c r="AO103" s="79" t="s">
        <v>248</v>
      </c>
      <c r="AP103" s="79" t="s">
        <v>261</v>
      </c>
      <c r="AQ103" s="79" t="s">
        <v>261</v>
      </c>
      <c r="AR103" s="79" t="s">
        <v>261</v>
      </c>
      <c r="AS103" s="79" t="s">
        <v>261</v>
      </c>
      <c r="AT103" s="79" t="s">
        <v>261</v>
      </c>
      <c r="AU103" s="79" t="s">
        <v>261</v>
      </c>
      <c r="AV103" s="79" t="s">
        <v>261</v>
      </c>
      <c r="AW103" s="79" t="s">
        <v>261</v>
      </c>
      <c r="AX103" s="79" t="s">
        <v>252</v>
      </c>
      <c r="AY103" s="79" t="s">
        <v>252</v>
      </c>
      <c r="AZ103" s="79" t="s">
        <v>265</v>
      </c>
      <c r="BA103" s="79" t="s">
        <v>265</v>
      </c>
      <c r="BB103" s="79" t="s">
        <v>265</v>
      </c>
      <c r="BC103" s="79" t="s">
        <v>265</v>
      </c>
      <c r="BD103" s="79" t="s">
        <v>265</v>
      </c>
      <c r="BE103" s="79" t="s">
        <v>265</v>
      </c>
      <c r="BF103" s="79" t="s">
        <v>265</v>
      </c>
      <c r="BG103" s="79" t="s">
        <v>266</v>
      </c>
      <c r="BH103" s="79" t="s">
        <v>258</v>
      </c>
      <c r="BI103" s="79" t="s">
        <v>258</v>
      </c>
      <c r="BJ103" s="79" t="s">
        <v>266</v>
      </c>
      <c r="BK103" s="79" t="s">
        <v>266</v>
      </c>
      <c r="BL103" s="79" t="s">
        <v>266</v>
      </c>
      <c r="BM103" s="79" t="s">
        <v>266</v>
      </c>
      <c r="BN103" s="79" t="s">
        <v>266</v>
      </c>
      <c r="BO103" s="79" t="s">
        <v>270</v>
      </c>
      <c r="BP103" s="79" t="s">
        <v>270</v>
      </c>
      <c r="BQ103" s="79" t="s">
        <v>270</v>
      </c>
      <c r="BR103" s="79" t="s">
        <v>270</v>
      </c>
      <c r="BS103" s="79" t="s">
        <v>270</v>
      </c>
      <c r="BT103" s="79" t="s">
        <v>270</v>
      </c>
    </row>
    <row r="104" spans="2:72" x14ac:dyDescent="0.3">
      <c r="B104" s="79">
        <f t="shared" si="4"/>
        <v>242</v>
      </c>
      <c r="C104" s="79" t="s">
        <v>243</v>
      </c>
      <c r="D104" s="79" t="s">
        <v>243</v>
      </c>
      <c r="E104" s="79" t="s">
        <v>243</v>
      </c>
      <c r="F104" s="79" t="s">
        <v>243</v>
      </c>
      <c r="G104" s="79" t="s">
        <v>243</v>
      </c>
      <c r="H104" s="79" t="s">
        <v>243</v>
      </c>
      <c r="I104" s="79" t="s">
        <v>242</v>
      </c>
      <c r="J104" s="79" t="s">
        <v>242</v>
      </c>
      <c r="K104" s="79" t="s">
        <v>242</v>
      </c>
      <c r="L104" s="79" t="s">
        <v>242</v>
      </c>
      <c r="M104" s="79" t="s">
        <v>249</v>
      </c>
      <c r="N104" s="79" t="s">
        <v>249</v>
      </c>
      <c r="O104" s="79" t="s">
        <v>249</v>
      </c>
      <c r="P104" s="79" t="s">
        <v>249</v>
      </c>
      <c r="Q104" s="79" t="s">
        <v>249</v>
      </c>
      <c r="R104" s="79" t="s">
        <v>250</v>
      </c>
      <c r="S104" s="79" t="s">
        <v>250</v>
      </c>
      <c r="T104" s="79" t="s">
        <v>241</v>
      </c>
      <c r="U104" s="79" t="s">
        <v>241</v>
      </c>
      <c r="V104" s="79" t="s">
        <v>241</v>
      </c>
      <c r="W104" s="79" t="s">
        <v>250</v>
      </c>
      <c r="X104" s="79" t="s">
        <v>250</v>
      </c>
      <c r="Y104" s="79" t="s">
        <v>250</v>
      </c>
      <c r="Z104" s="79" t="s">
        <v>250</v>
      </c>
      <c r="AA104" s="79" t="s">
        <v>253</v>
      </c>
      <c r="AB104" s="79" t="s">
        <v>253</v>
      </c>
      <c r="AC104" s="79" t="s">
        <v>253</v>
      </c>
      <c r="AD104" s="79" t="s">
        <v>246</v>
      </c>
      <c r="AE104" s="79" t="s">
        <v>246</v>
      </c>
      <c r="AF104" s="79" t="s">
        <v>246</v>
      </c>
      <c r="AG104" s="79" t="s">
        <v>253</v>
      </c>
      <c r="AH104" s="79" t="s">
        <v>253</v>
      </c>
      <c r="AI104" s="79" t="s">
        <v>256</v>
      </c>
      <c r="AJ104" s="79" t="s">
        <v>256</v>
      </c>
      <c r="AK104" s="79" t="s">
        <v>256</v>
      </c>
      <c r="AL104" s="79" t="s">
        <v>256</v>
      </c>
      <c r="AM104" s="79" t="s">
        <v>256</v>
      </c>
      <c r="AN104" s="79" t="s">
        <v>256</v>
      </c>
      <c r="AO104" s="79" t="s">
        <v>248</v>
      </c>
      <c r="AP104" s="79" t="s">
        <v>256</v>
      </c>
      <c r="AQ104" s="79" t="s">
        <v>261</v>
      </c>
      <c r="AR104" s="79" t="s">
        <v>261</v>
      </c>
      <c r="AS104" s="79" t="s">
        <v>261</v>
      </c>
      <c r="AT104" s="79" t="s">
        <v>261</v>
      </c>
      <c r="AU104" s="79" t="s">
        <v>261</v>
      </c>
      <c r="AV104" s="79" t="s">
        <v>261</v>
      </c>
      <c r="AW104" s="79" t="s">
        <v>261</v>
      </c>
      <c r="AX104" s="79" t="s">
        <v>261</v>
      </c>
      <c r="AY104" s="79" t="s">
        <v>252</v>
      </c>
      <c r="AZ104" s="79" t="s">
        <v>265</v>
      </c>
      <c r="BA104" s="79" t="s">
        <v>265</v>
      </c>
      <c r="BB104" s="79" t="s">
        <v>265</v>
      </c>
      <c r="BC104" s="79" t="s">
        <v>265</v>
      </c>
      <c r="BD104" s="79" t="s">
        <v>265</v>
      </c>
      <c r="BE104" s="79" t="s">
        <v>265</v>
      </c>
      <c r="BF104" s="79" t="s">
        <v>265</v>
      </c>
      <c r="BG104" s="79" t="s">
        <v>265</v>
      </c>
      <c r="BH104" s="79" t="s">
        <v>266</v>
      </c>
      <c r="BI104" s="79" t="s">
        <v>266</v>
      </c>
      <c r="BJ104" s="79" t="s">
        <v>266</v>
      </c>
      <c r="BK104" s="79" t="s">
        <v>266</v>
      </c>
      <c r="BL104" s="79" t="s">
        <v>266</v>
      </c>
      <c r="BM104" s="79" t="s">
        <v>266</v>
      </c>
      <c r="BN104" s="79" t="s">
        <v>266</v>
      </c>
      <c r="BO104" s="79" t="s">
        <v>266</v>
      </c>
      <c r="BP104" s="79" t="s">
        <v>270</v>
      </c>
      <c r="BQ104" s="79" t="s">
        <v>270</v>
      </c>
      <c r="BR104" s="79" t="s">
        <v>270</v>
      </c>
      <c r="BS104" s="79" t="s">
        <v>270</v>
      </c>
      <c r="BT104" s="79" t="s">
        <v>270</v>
      </c>
    </row>
    <row r="105" spans="2:72" x14ac:dyDescent="0.3">
      <c r="B105" s="79">
        <f t="shared" si="4"/>
        <v>244</v>
      </c>
      <c r="C105" s="79" t="s">
        <v>243</v>
      </c>
      <c r="D105" s="79" t="s">
        <v>243</v>
      </c>
      <c r="E105" s="79" t="s">
        <v>243</v>
      </c>
      <c r="F105" s="79" t="s">
        <v>243</v>
      </c>
      <c r="G105" s="79" t="s">
        <v>243</v>
      </c>
      <c r="H105" s="79" t="s">
        <v>243</v>
      </c>
      <c r="I105" s="79" t="s">
        <v>243</v>
      </c>
      <c r="J105" s="79" t="s">
        <v>242</v>
      </c>
      <c r="K105" s="79" t="s">
        <v>242</v>
      </c>
      <c r="L105" s="79" t="s">
        <v>242</v>
      </c>
      <c r="M105" s="79" t="s">
        <v>249</v>
      </c>
      <c r="N105" s="79" t="s">
        <v>249</v>
      </c>
      <c r="O105" s="79" t="s">
        <v>249</v>
      </c>
      <c r="P105" s="79" t="s">
        <v>249</v>
      </c>
      <c r="Q105" s="79" t="s">
        <v>249</v>
      </c>
      <c r="R105" s="79" t="s">
        <v>249</v>
      </c>
      <c r="S105" s="79" t="s">
        <v>250</v>
      </c>
      <c r="T105" s="79" t="s">
        <v>250</v>
      </c>
      <c r="U105" s="79" t="s">
        <v>241</v>
      </c>
      <c r="V105" s="79" t="s">
        <v>241</v>
      </c>
      <c r="W105" s="79" t="s">
        <v>250</v>
      </c>
      <c r="X105" s="79" t="s">
        <v>250</v>
      </c>
      <c r="Y105" s="79" t="s">
        <v>250</v>
      </c>
      <c r="Z105" s="79" t="s">
        <v>250</v>
      </c>
      <c r="AA105" s="79" t="s">
        <v>250</v>
      </c>
      <c r="AB105" s="79" t="s">
        <v>253</v>
      </c>
      <c r="AC105" s="79" t="s">
        <v>253</v>
      </c>
      <c r="AD105" s="79" t="s">
        <v>253</v>
      </c>
      <c r="AE105" s="79" t="s">
        <v>246</v>
      </c>
      <c r="AF105" s="79" t="s">
        <v>246</v>
      </c>
      <c r="AG105" s="79" t="s">
        <v>253</v>
      </c>
      <c r="AH105" s="79" t="s">
        <v>253</v>
      </c>
      <c r="AI105" s="79" t="s">
        <v>253</v>
      </c>
      <c r="AJ105" s="79" t="s">
        <v>256</v>
      </c>
      <c r="AK105" s="79" t="s">
        <v>256</v>
      </c>
      <c r="AL105" s="79" t="s">
        <v>256</v>
      </c>
      <c r="AM105" s="79" t="s">
        <v>256</v>
      </c>
      <c r="AN105" s="79" t="s">
        <v>256</v>
      </c>
      <c r="AO105" s="79" t="s">
        <v>256</v>
      </c>
      <c r="AP105" s="79" t="s">
        <v>256</v>
      </c>
      <c r="AQ105" s="79" t="s">
        <v>256</v>
      </c>
      <c r="AR105" s="79" t="s">
        <v>261</v>
      </c>
      <c r="AS105" s="79" t="s">
        <v>261</v>
      </c>
      <c r="AT105" s="79" t="s">
        <v>261</v>
      </c>
      <c r="AU105" s="79" t="s">
        <v>261</v>
      </c>
      <c r="AV105" s="79" t="s">
        <v>261</v>
      </c>
      <c r="AW105" s="79" t="s">
        <v>261</v>
      </c>
      <c r="AX105" s="79" t="s">
        <v>261</v>
      </c>
      <c r="AY105" s="79" t="s">
        <v>261</v>
      </c>
      <c r="AZ105" s="79" t="s">
        <v>261</v>
      </c>
      <c r="BA105" s="79" t="s">
        <v>265</v>
      </c>
      <c r="BB105" s="79" t="s">
        <v>265</v>
      </c>
      <c r="BC105" s="79" t="s">
        <v>265</v>
      </c>
      <c r="BD105" s="79" t="s">
        <v>265</v>
      </c>
      <c r="BE105" s="79" t="s">
        <v>265</v>
      </c>
      <c r="BF105" s="79" t="s">
        <v>265</v>
      </c>
      <c r="BG105" s="79" t="s">
        <v>265</v>
      </c>
      <c r="BH105" s="79" t="s">
        <v>265</v>
      </c>
      <c r="BI105" s="79" t="s">
        <v>266</v>
      </c>
      <c r="BJ105" s="79" t="s">
        <v>266</v>
      </c>
      <c r="BK105" s="79" t="s">
        <v>266</v>
      </c>
      <c r="BL105" s="79" t="s">
        <v>266</v>
      </c>
      <c r="BM105" s="79" t="s">
        <v>266</v>
      </c>
      <c r="BN105" s="79" t="s">
        <v>266</v>
      </c>
      <c r="BO105" s="79" t="s">
        <v>266</v>
      </c>
      <c r="BP105" s="79" t="s">
        <v>266</v>
      </c>
      <c r="BQ105" s="79" t="s">
        <v>270</v>
      </c>
      <c r="BR105" s="79" t="s">
        <v>270</v>
      </c>
      <c r="BS105" s="79" t="s">
        <v>270</v>
      </c>
      <c r="BT105" s="79" t="s">
        <v>270</v>
      </c>
    </row>
    <row r="106" spans="2:72" x14ac:dyDescent="0.3">
      <c r="B106" s="79">
        <f t="shared" si="4"/>
        <v>246</v>
      </c>
      <c r="C106" s="79" t="s">
        <v>243</v>
      </c>
      <c r="D106" s="79" t="s">
        <v>243</v>
      </c>
      <c r="E106" s="79" t="s">
        <v>243</v>
      </c>
      <c r="F106" s="79" t="s">
        <v>243</v>
      </c>
      <c r="G106" s="79" t="s">
        <v>243</v>
      </c>
      <c r="H106" s="79" t="s">
        <v>243</v>
      </c>
      <c r="I106" s="79" t="s">
        <v>243</v>
      </c>
      <c r="J106" s="79" t="s">
        <v>243</v>
      </c>
      <c r="K106" s="79" t="s">
        <v>242</v>
      </c>
      <c r="L106" s="79" t="s">
        <v>242</v>
      </c>
      <c r="M106" s="79" t="s">
        <v>249</v>
      </c>
      <c r="N106" s="79" t="s">
        <v>249</v>
      </c>
      <c r="O106" s="79" t="s">
        <v>249</v>
      </c>
      <c r="P106" s="79" t="s">
        <v>249</v>
      </c>
      <c r="Q106" s="79" t="s">
        <v>249</v>
      </c>
      <c r="R106" s="79" t="s">
        <v>249</v>
      </c>
      <c r="S106" s="79" t="s">
        <v>249</v>
      </c>
      <c r="T106" s="79" t="s">
        <v>250</v>
      </c>
      <c r="U106" s="79" t="s">
        <v>250</v>
      </c>
      <c r="V106" s="79" t="s">
        <v>241</v>
      </c>
      <c r="W106" s="79" t="s">
        <v>250</v>
      </c>
      <c r="X106" s="79" t="s">
        <v>250</v>
      </c>
      <c r="Y106" s="79" t="s">
        <v>250</v>
      </c>
      <c r="Z106" s="79" t="s">
        <v>250</v>
      </c>
      <c r="AA106" s="79" t="s">
        <v>250</v>
      </c>
      <c r="AB106" s="79" t="s">
        <v>253</v>
      </c>
      <c r="AC106" s="79" t="s">
        <v>253</v>
      </c>
      <c r="AD106" s="79" t="s">
        <v>253</v>
      </c>
      <c r="AE106" s="79" t="s">
        <v>253</v>
      </c>
      <c r="AF106" s="79" t="s">
        <v>253</v>
      </c>
      <c r="AG106" s="79" t="s">
        <v>253</v>
      </c>
      <c r="AH106" s="79" t="s">
        <v>253</v>
      </c>
      <c r="AI106" s="79" t="s">
        <v>253</v>
      </c>
      <c r="AJ106" s="79" t="s">
        <v>253</v>
      </c>
      <c r="AK106" s="79" t="s">
        <v>256</v>
      </c>
      <c r="AL106" s="79" t="s">
        <v>256</v>
      </c>
      <c r="AM106" s="79" t="s">
        <v>256</v>
      </c>
      <c r="AN106" s="79" t="s">
        <v>256</v>
      </c>
      <c r="AO106" s="79" t="s">
        <v>256</v>
      </c>
      <c r="AP106" s="79" t="s">
        <v>256</v>
      </c>
      <c r="AQ106" s="79" t="s">
        <v>256</v>
      </c>
      <c r="AR106" s="79" t="s">
        <v>256</v>
      </c>
      <c r="AS106" s="79" t="s">
        <v>261</v>
      </c>
      <c r="AT106" s="79" t="s">
        <v>261</v>
      </c>
      <c r="AU106" s="79" t="s">
        <v>261</v>
      </c>
      <c r="AV106" s="79" t="s">
        <v>261</v>
      </c>
      <c r="AW106" s="79" t="s">
        <v>261</v>
      </c>
      <c r="AX106" s="79" t="s">
        <v>261</v>
      </c>
      <c r="AY106" s="79" t="s">
        <v>261</v>
      </c>
      <c r="AZ106" s="79" t="s">
        <v>261</v>
      </c>
      <c r="BA106" s="79" t="s">
        <v>261</v>
      </c>
      <c r="BB106" s="79" t="s">
        <v>265</v>
      </c>
      <c r="BC106" s="79" t="s">
        <v>265</v>
      </c>
      <c r="BD106" s="79" t="s">
        <v>265</v>
      </c>
      <c r="BE106" s="79" t="s">
        <v>265</v>
      </c>
      <c r="BF106" s="79" t="s">
        <v>265</v>
      </c>
      <c r="BG106" s="79" t="s">
        <v>265</v>
      </c>
      <c r="BH106" s="79" t="s">
        <v>265</v>
      </c>
      <c r="BI106" s="79" t="s">
        <v>265</v>
      </c>
      <c r="BJ106" s="79" t="s">
        <v>266</v>
      </c>
      <c r="BK106" s="79" t="s">
        <v>266</v>
      </c>
      <c r="BL106" s="79" t="s">
        <v>266</v>
      </c>
      <c r="BM106" s="79" t="s">
        <v>266</v>
      </c>
      <c r="BN106" s="79" t="s">
        <v>266</v>
      </c>
      <c r="BO106" s="79" t="s">
        <v>266</v>
      </c>
      <c r="BP106" s="79" t="s">
        <v>266</v>
      </c>
      <c r="BQ106" s="79" t="s">
        <v>266</v>
      </c>
      <c r="BR106" s="79" t="s">
        <v>270</v>
      </c>
      <c r="BS106" s="79" t="s">
        <v>270</v>
      </c>
      <c r="BT106" s="79" t="s">
        <v>270</v>
      </c>
    </row>
    <row r="107" spans="2:72" x14ac:dyDescent="0.3">
      <c r="B107" s="79">
        <f t="shared" si="4"/>
        <v>248</v>
      </c>
      <c r="C107" s="79" t="s">
        <v>244</v>
      </c>
      <c r="D107" s="79" t="s">
        <v>243</v>
      </c>
      <c r="E107" s="79" t="s">
        <v>243</v>
      </c>
      <c r="F107" s="79" t="s">
        <v>243</v>
      </c>
      <c r="G107" s="79" t="s">
        <v>243</v>
      </c>
      <c r="H107" s="79" t="s">
        <v>243</v>
      </c>
      <c r="I107" s="79" t="s">
        <v>243</v>
      </c>
      <c r="J107" s="79" t="s">
        <v>243</v>
      </c>
      <c r="K107" s="79" t="s">
        <v>243</v>
      </c>
      <c r="L107" s="79" t="s">
        <v>242</v>
      </c>
      <c r="M107" s="79" t="s">
        <v>249</v>
      </c>
      <c r="N107" s="79" t="s">
        <v>249</v>
      </c>
      <c r="O107" s="79" t="s">
        <v>249</v>
      </c>
      <c r="P107" s="79" t="s">
        <v>249</v>
      </c>
      <c r="Q107" s="79" t="s">
        <v>249</v>
      </c>
      <c r="R107" s="79" t="s">
        <v>249</v>
      </c>
      <c r="S107" s="79" t="s">
        <v>249</v>
      </c>
      <c r="T107" s="79" t="s">
        <v>249</v>
      </c>
      <c r="U107" s="79" t="s">
        <v>250</v>
      </c>
      <c r="V107" s="79" t="s">
        <v>250</v>
      </c>
      <c r="W107" s="79" t="s">
        <v>250</v>
      </c>
      <c r="X107" s="79" t="s">
        <v>250</v>
      </c>
      <c r="Y107" s="79" t="s">
        <v>250</v>
      </c>
      <c r="Z107" s="79" t="s">
        <v>250</v>
      </c>
      <c r="AA107" s="79" t="s">
        <v>250</v>
      </c>
      <c r="AB107" s="79" t="s">
        <v>250</v>
      </c>
      <c r="AC107" s="79" t="s">
        <v>253</v>
      </c>
      <c r="AD107" s="79" t="s">
        <v>253</v>
      </c>
      <c r="AE107" s="79" t="s">
        <v>253</v>
      </c>
      <c r="AF107" s="79" t="s">
        <v>253</v>
      </c>
      <c r="AG107" s="79" t="s">
        <v>253</v>
      </c>
      <c r="AH107" s="79" t="s">
        <v>253</v>
      </c>
      <c r="AI107" s="79" t="s">
        <v>253</v>
      </c>
      <c r="AJ107" s="79" t="s">
        <v>253</v>
      </c>
      <c r="AK107" s="79" t="s">
        <v>253</v>
      </c>
      <c r="AL107" s="79" t="s">
        <v>256</v>
      </c>
      <c r="AM107" s="79" t="s">
        <v>256</v>
      </c>
      <c r="AN107" s="79" t="s">
        <v>256</v>
      </c>
      <c r="AO107" s="79" t="s">
        <v>256</v>
      </c>
      <c r="AP107" s="79" t="s">
        <v>256</v>
      </c>
      <c r="AQ107" s="79" t="s">
        <v>256</v>
      </c>
      <c r="AR107" s="79" t="s">
        <v>256</v>
      </c>
      <c r="AS107" s="79" t="s">
        <v>256</v>
      </c>
      <c r="AT107" s="79" t="s">
        <v>261</v>
      </c>
      <c r="AU107" s="79" t="s">
        <v>261</v>
      </c>
      <c r="AV107" s="79" t="s">
        <v>261</v>
      </c>
      <c r="AW107" s="79" t="s">
        <v>261</v>
      </c>
      <c r="AX107" s="79" t="s">
        <v>261</v>
      </c>
      <c r="AY107" s="79" t="s">
        <v>261</v>
      </c>
      <c r="AZ107" s="79" t="s">
        <v>261</v>
      </c>
      <c r="BA107" s="79" t="s">
        <v>261</v>
      </c>
      <c r="BB107" s="79" t="s">
        <v>261</v>
      </c>
      <c r="BC107" s="79" t="s">
        <v>265</v>
      </c>
      <c r="BD107" s="79" t="s">
        <v>265</v>
      </c>
      <c r="BE107" s="79" t="s">
        <v>265</v>
      </c>
      <c r="BF107" s="79" t="s">
        <v>265</v>
      </c>
      <c r="BG107" s="79" t="s">
        <v>265</v>
      </c>
      <c r="BH107" s="79" t="s">
        <v>265</v>
      </c>
      <c r="BI107" s="79" t="s">
        <v>265</v>
      </c>
      <c r="BJ107" s="79" t="s">
        <v>265</v>
      </c>
      <c r="BK107" s="79" t="s">
        <v>266</v>
      </c>
      <c r="BL107" s="79" t="s">
        <v>266</v>
      </c>
      <c r="BM107" s="79" t="s">
        <v>266</v>
      </c>
      <c r="BN107" s="79" t="s">
        <v>266</v>
      </c>
      <c r="BO107" s="79" t="s">
        <v>266</v>
      </c>
      <c r="BP107" s="79" t="s">
        <v>266</v>
      </c>
      <c r="BQ107" s="79" t="s">
        <v>266</v>
      </c>
      <c r="BR107" s="79" t="s">
        <v>266</v>
      </c>
      <c r="BS107" s="79" t="s">
        <v>266</v>
      </c>
      <c r="BT107" s="79" t="s">
        <v>270</v>
      </c>
    </row>
    <row r="108" spans="2:72" x14ac:dyDescent="0.3">
      <c r="B108" s="79">
        <f t="shared" si="4"/>
        <v>250</v>
      </c>
      <c r="C108" s="79" t="s">
        <v>244</v>
      </c>
      <c r="D108" s="79" t="s">
        <v>243</v>
      </c>
      <c r="E108" s="79" t="s">
        <v>243</v>
      </c>
      <c r="F108" s="79" t="s">
        <v>243</v>
      </c>
      <c r="G108" s="79" t="s">
        <v>243</v>
      </c>
      <c r="H108" s="79" t="s">
        <v>243</v>
      </c>
      <c r="I108" s="79" t="s">
        <v>243</v>
      </c>
      <c r="J108" s="79" t="s">
        <v>243</v>
      </c>
      <c r="K108" s="79" t="s">
        <v>243</v>
      </c>
      <c r="L108" s="79" t="s">
        <v>243</v>
      </c>
      <c r="M108" s="79" t="s">
        <v>249</v>
      </c>
      <c r="N108" s="79" t="s">
        <v>249</v>
      </c>
      <c r="O108" s="79" t="s">
        <v>249</v>
      </c>
      <c r="P108" s="79" t="s">
        <v>249</v>
      </c>
      <c r="Q108" s="79" t="s">
        <v>249</v>
      </c>
      <c r="R108" s="79" t="s">
        <v>249</v>
      </c>
      <c r="S108" s="79" t="s">
        <v>249</v>
      </c>
      <c r="T108" s="79" t="s">
        <v>249</v>
      </c>
      <c r="U108" s="79" t="s">
        <v>250</v>
      </c>
      <c r="V108" s="79" t="s">
        <v>250</v>
      </c>
      <c r="W108" s="79" t="s">
        <v>250</v>
      </c>
      <c r="X108" s="79" t="s">
        <v>250</v>
      </c>
      <c r="Y108" s="79" t="s">
        <v>250</v>
      </c>
      <c r="Z108" s="79" t="s">
        <v>250</v>
      </c>
      <c r="AA108" s="79" t="s">
        <v>250</v>
      </c>
      <c r="AB108" s="79" t="s">
        <v>250</v>
      </c>
      <c r="AC108" s="79" t="s">
        <v>250</v>
      </c>
      <c r="AD108" s="79" t="s">
        <v>253</v>
      </c>
      <c r="AE108" s="79" t="s">
        <v>253</v>
      </c>
      <c r="AF108" s="79" t="s">
        <v>253</v>
      </c>
      <c r="AG108" s="79" t="s">
        <v>253</v>
      </c>
      <c r="AH108" s="79" t="s">
        <v>253</v>
      </c>
      <c r="AI108" s="79" t="s">
        <v>253</v>
      </c>
      <c r="AJ108" s="79" t="s">
        <v>253</v>
      </c>
      <c r="AK108" s="79" t="s">
        <v>253</v>
      </c>
      <c r="AL108" s="79" t="s">
        <v>253</v>
      </c>
      <c r="AM108" s="79" t="s">
        <v>256</v>
      </c>
      <c r="AN108" s="79" t="s">
        <v>256</v>
      </c>
      <c r="AO108" s="79" t="s">
        <v>256</v>
      </c>
      <c r="AP108" s="79" t="s">
        <v>256</v>
      </c>
      <c r="AQ108" s="79" t="s">
        <v>256</v>
      </c>
      <c r="AR108" s="79" t="s">
        <v>256</v>
      </c>
      <c r="AS108" s="79" t="s">
        <v>256</v>
      </c>
      <c r="AT108" s="79" t="s">
        <v>256</v>
      </c>
      <c r="AU108" s="79" t="s">
        <v>261</v>
      </c>
      <c r="AV108" s="79" t="s">
        <v>261</v>
      </c>
      <c r="AW108" s="79" t="s">
        <v>261</v>
      </c>
      <c r="AX108" s="79" t="s">
        <v>261</v>
      </c>
      <c r="AY108" s="79" t="s">
        <v>261</v>
      </c>
      <c r="AZ108" s="79" t="s">
        <v>261</v>
      </c>
      <c r="BA108" s="79" t="s">
        <v>261</v>
      </c>
      <c r="BB108" s="79" t="s">
        <v>261</v>
      </c>
      <c r="BC108" s="79" t="s">
        <v>261</v>
      </c>
      <c r="BD108" s="79" t="s">
        <v>265</v>
      </c>
      <c r="BE108" s="79" t="s">
        <v>265</v>
      </c>
      <c r="BF108" s="79" t="s">
        <v>265</v>
      </c>
      <c r="BG108" s="79" t="s">
        <v>265</v>
      </c>
      <c r="BH108" s="79" t="s">
        <v>265</v>
      </c>
      <c r="BI108" s="79" t="s">
        <v>265</v>
      </c>
      <c r="BJ108" s="79" t="s">
        <v>265</v>
      </c>
      <c r="BK108" s="79" t="s">
        <v>265</v>
      </c>
      <c r="BL108" s="79" t="s">
        <v>266</v>
      </c>
      <c r="BM108" s="79" t="s">
        <v>266</v>
      </c>
      <c r="BN108" s="79" t="s">
        <v>266</v>
      </c>
      <c r="BO108" s="79" t="s">
        <v>266</v>
      </c>
      <c r="BP108" s="79" t="s">
        <v>266</v>
      </c>
      <c r="BQ108" s="79" t="s">
        <v>266</v>
      </c>
      <c r="BR108" s="79" t="s">
        <v>266</v>
      </c>
      <c r="BS108" s="79" t="s">
        <v>266</v>
      </c>
      <c r="BT108" s="79" t="s">
        <v>266</v>
      </c>
    </row>
    <row r="109" spans="2:72" x14ac:dyDescent="0.3">
      <c r="B109" s="79">
        <f t="shared" si="4"/>
        <v>252</v>
      </c>
      <c r="C109" s="79" t="s">
        <v>244</v>
      </c>
      <c r="D109" s="79" t="s">
        <v>244</v>
      </c>
      <c r="E109" s="79" t="s">
        <v>243</v>
      </c>
      <c r="F109" s="79" t="s">
        <v>243</v>
      </c>
      <c r="G109" s="79" t="s">
        <v>243</v>
      </c>
      <c r="H109" s="79" t="s">
        <v>243</v>
      </c>
      <c r="I109" s="79" t="s">
        <v>243</v>
      </c>
      <c r="J109" s="79" t="s">
        <v>243</v>
      </c>
      <c r="K109" s="79" t="s">
        <v>243</v>
      </c>
      <c r="L109" s="79" t="s">
        <v>243</v>
      </c>
      <c r="M109" s="79" t="s">
        <v>243</v>
      </c>
      <c r="N109" s="79" t="s">
        <v>249</v>
      </c>
      <c r="O109" s="79" t="s">
        <v>249</v>
      </c>
      <c r="P109" s="79" t="s">
        <v>249</v>
      </c>
      <c r="Q109" s="79" t="s">
        <v>249</v>
      </c>
      <c r="R109" s="79" t="s">
        <v>249</v>
      </c>
      <c r="S109" s="79" t="s">
        <v>249</v>
      </c>
      <c r="T109" s="79" t="s">
        <v>249</v>
      </c>
      <c r="U109" s="79" t="s">
        <v>249</v>
      </c>
      <c r="V109" s="79" t="s">
        <v>250</v>
      </c>
      <c r="W109" s="79" t="s">
        <v>250</v>
      </c>
      <c r="X109" s="79" t="s">
        <v>250</v>
      </c>
      <c r="Y109" s="79" t="s">
        <v>250</v>
      </c>
      <c r="Z109" s="79" t="s">
        <v>250</v>
      </c>
      <c r="AA109" s="79" t="s">
        <v>250</v>
      </c>
      <c r="AB109" s="79" t="s">
        <v>250</v>
      </c>
      <c r="AC109" s="79" t="s">
        <v>250</v>
      </c>
      <c r="AD109" s="79" t="s">
        <v>250</v>
      </c>
      <c r="AE109" s="79" t="s">
        <v>253</v>
      </c>
      <c r="AF109" s="79" t="s">
        <v>253</v>
      </c>
      <c r="AG109" s="79" t="s">
        <v>253</v>
      </c>
      <c r="AH109" s="79" t="s">
        <v>253</v>
      </c>
      <c r="AI109" s="79" t="s">
        <v>253</v>
      </c>
      <c r="AJ109" s="79" t="s">
        <v>253</v>
      </c>
      <c r="AK109" s="79" t="s">
        <v>253</v>
      </c>
      <c r="AL109" s="79" t="s">
        <v>253</v>
      </c>
      <c r="AM109" s="79" t="s">
        <v>256</v>
      </c>
      <c r="AN109" s="79" t="s">
        <v>256</v>
      </c>
      <c r="AO109" s="79" t="s">
        <v>256</v>
      </c>
      <c r="AP109" s="79" t="s">
        <v>256</v>
      </c>
      <c r="AQ109" s="79" t="s">
        <v>256</v>
      </c>
      <c r="AR109" s="79" t="s">
        <v>256</v>
      </c>
      <c r="AS109" s="79" t="s">
        <v>256</v>
      </c>
      <c r="AT109" s="79" t="s">
        <v>256</v>
      </c>
      <c r="AU109" s="79" t="s">
        <v>256</v>
      </c>
      <c r="AV109" s="79" t="s">
        <v>261</v>
      </c>
      <c r="AW109" s="79" t="s">
        <v>261</v>
      </c>
      <c r="AX109" s="79" t="s">
        <v>261</v>
      </c>
      <c r="AY109" s="79" t="s">
        <v>261</v>
      </c>
      <c r="AZ109" s="79" t="s">
        <v>261</v>
      </c>
      <c r="BA109" s="79" t="s">
        <v>261</v>
      </c>
      <c r="BB109" s="79" t="s">
        <v>261</v>
      </c>
      <c r="BC109" s="79" t="s">
        <v>261</v>
      </c>
      <c r="BD109" s="79" t="s">
        <v>261</v>
      </c>
      <c r="BE109" s="79" t="s">
        <v>265</v>
      </c>
      <c r="BF109" s="79" t="s">
        <v>265</v>
      </c>
      <c r="BG109" s="79" t="s">
        <v>265</v>
      </c>
      <c r="BH109" s="79" t="s">
        <v>265</v>
      </c>
      <c r="BI109" s="79" t="s">
        <v>265</v>
      </c>
      <c r="BJ109" s="79" t="s">
        <v>265</v>
      </c>
      <c r="BK109" s="79" t="s">
        <v>265</v>
      </c>
      <c r="BL109" s="79" t="s">
        <v>265</v>
      </c>
      <c r="BM109" s="79" t="s">
        <v>266</v>
      </c>
      <c r="BN109" s="79" t="s">
        <v>266</v>
      </c>
      <c r="BO109" s="79" t="s">
        <v>266</v>
      </c>
      <c r="BP109" s="79" t="s">
        <v>266</v>
      </c>
      <c r="BQ109" s="79" t="s">
        <v>266</v>
      </c>
      <c r="BR109" s="79" t="s">
        <v>266</v>
      </c>
      <c r="BS109" s="79" t="s">
        <v>266</v>
      </c>
      <c r="BT109" s="79" t="s">
        <v>266</v>
      </c>
    </row>
    <row r="110" spans="2:72" x14ac:dyDescent="0.3">
      <c r="B110" s="79">
        <f t="shared" si="4"/>
        <v>254</v>
      </c>
      <c r="C110" s="79" t="s">
        <v>244</v>
      </c>
      <c r="D110" s="79" t="s">
        <v>244</v>
      </c>
      <c r="E110" s="79" t="s">
        <v>244</v>
      </c>
      <c r="F110" s="79" t="s">
        <v>243</v>
      </c>
      <c r="G110" s="79" t="s">
        <v>243</v>
      </c>
      <c r="H110" s="79" t="s">
        <v>243</v>
      </c>
      <c r="I110" s="79" t="s">
        <v>243</v>
      </c>
      <c r="J110" s="79" t="s">
        <v>243</v>
      </c>
      <c r="K110" s="79" t="s">
        <v>243</v>
      </c>
      <c r="L110" s="79" t="s">
        <v>243</v>
      </c>
      <c r="M110" s="79" t="s">
        <v>243</v>
      </c>
      <c r="N110" s="79" t="s">
        <v>249</v>
      </c>
      <c r="O110" s="79" t="s">
        <v>249</v>
      </c>
      <c r="P110" s="79" t="s">
        <v>249</v>
      </c>
      <c r="Q110" s="79" t="s">
        <v>249</v>
      </c>
      <c r="R110" s="79" t="s">
        <v>249</v>
      </c>
      <c r="S110" s="79" t="s">
        <v>249</v>
      </c>
      <c r="T110" s="79" t="s">
        <v>249</v>
      </c>
      <c r="U110" s="79" t="s">
        <v>249</v>
      </c>
      <c r="V110" s="79" t="s">
        <v>249</v>
      </c>
      <c r="W110" s="79" t="s">
        <v>250</v>
      </c>
      <c r="X110" s="79" t="s">
        <v>250</v>
      </c>
      <c r="Y110" s="79" t="s">
        <v>250</v>
      </c>
      <c r="Z110" s="79" t="s">
        <v>250</v>
      </c>
      <c r="AA110" s="79" t="s">
        <v>250</v>
      </c>
      <c r="AB110" s="79" t="s">
        <v>250</v>
      </c>
      <c r="AC110" s="79" t="s">
        <v>250</v>
      </c>
      <c r="AD110" s="79" t="s">
        <v>250</v>
      </c>
      <c r="AE110" s="79" t="s">
        <v>250</v>
      </c>
      <c r="AF110" s="79" t="s">
        <v>253</v>
      </c>
      <c r="AG110" s="79" t="s">
        <v>253</v>
      </c>
      <c r="AH110" s="79" t="s">
        <v>253</v>
      </c>
      <c r="AI110" s="79" t="s">
        <v>253</v>
      </c>
      <c r="AJ110" s="79" t="s">
        <v>253</v>
      </c>
      <c r="AK110" s="79" t="s">
        <v>253</v>
      </c>
      <c r="AL110" s="79" t="s">
        <v>253</v>
      </c>
      <c r="AM110" s="79" t="s">
        <v>253</v>
      </c>
      <c r="AN110" s="79" t="s">
        <v>256</v>
      </c>
      <c r="AO110" s="79" t="s">
        <v>256</v>
      </c>
      <c r="AP110" s="79" t="s">
        <v>256</v>
      </c>
      <c r="AQ110" s="79" t="s">
        <v>256</v>
      </c>
      <c r="AR110" s="79" t="s">
        <v>256</v>
      </c>
      <c r="AS110" s="79" t="s">
        <v>256</v>
      </c>
      <c r="AT110" s="79" t="s">
        <v>256</v>
      </c>
      <c r="AU110" s="79" t="s">
        <v>256</v>
      </c>
      <c r="AV110" s="79" t="s">
        <v>256</v>
      </c>
      <c r="AW110" s="79" t="s">
        <v>261</v>
      </c>
      <c r="AX110" s="79" t="s">
        <v>261</v>
      </c>
      <c r="AY110" s="79" t="s">
        <v>261</v>
      </c>
      <c r="AZ110" s="79" t="s">
        <v>261</v>
      </c>
      <c r="BA110" s="79" t="s">
        <v>261</v>
      </c>
      <c r="BB110" s="79" t="s">
        <v>261</v>
      </c>
      <c r="BC110" s="79" t="s">
        <v>261</v>
      </c>
      <c r="BD110" s="79" t="s">
        <v>261</v>
      </c>
      <c r="BE110" s="79" t="s">
        <v>261</v>
      </c>
      <c r="BF110" s="79" t="s">
        <v>265</v>
      </c>
      <c r="BG110" s="79" t="s">
        <v>265</v>
      </c>
      <c r="BH110" s="79" t="s">
        <v>265</v>
      </c>
      <c r="BI110" s="79" t="s">
        <v>265</v>
      </c>
      <c r="BJ110" s="79" t="s">
        <v>265</v>
      </c>
      <c r="BK110" s="79" t="s">
        <v>265</v>
      </c>
      <c r="BL110" s="79" t="s">
        <v>265</v>
      </c>
      <c r="BM110" s="79" t="s">
        <v>265</v>
      </c>
      <c r="BN110" s="79" t="s">
        <v>265</v>
      </c>
      <c r="BO110" s="79" t="s">
        <v>266</v>
      </c>
      <c r="BP110" s="79" t="s">
        <v>266</v>
      </c>
      <c r="BQ110" s="79" t="s">
        <v>266</v>
      </c>
      <c r="BR110" s="79" t="s">
        <v>266</v>
      </c>
      <c r="BS110" s="79" t="s">
        <v>266</v>
      </c>
      <c r="BT110" s="79" t="s">
        <v>266</v>
      </c>
    </row>
    <row r="111" spans="2:72" x14ac:dyDescent="0.3">
      <c r="B111" s="79">
        <f t="shared" si="4"/>
        <v>256</v>
      </c>
      <c r="C111" s="79" t="s">
        <v>244</v>
      </c>
      <c r="D111" s="79" t="s">
        <v>244</v>
      </c>
      <c r="E111" s="79" t="s">
        <v>244</v>
      </c>
      <c r="F111" s="79" t="s">
        <v>243</v>
      </c>
      <c r="G111" s="79" t="s">
        <v>243</v>
      </c>
      <c r="H111" s="79" t="s">
        <v>243</v>
      </c>
      <c r="I111" s="79" t="s">
        <v>243</v>
      </c>
      <c r="J111" s="79" t="s">
        <v>243</v>
      </c>
      <c r="K111" s="79" t="s">
        <v>243</v>
      </c>
      <c r="L111" s="79" t="s">
        <v>243</v>
      </c>
      <c r="M111" s="79" t="s">
        <v>243</v>
      </c>
      <c r="N111" s="79" t="s">
        <v>243</v>
      </c>
      <c r="O111" s="79" t="s">
        <v>249</v>
      </c>
      <c r="P111" s="79" t="s">
        <v>249</v>
      </c>
      <c r="Q111" s="79" t="s">
        <v>249</v>
      </c>
      <c r="R111" s="79" t="s">
        <v>249</v>
      </c>
      <c r="S111" s="79" t="s">
        <v>249</v>
      </c>
      <c r="T111" s="79" t="s">
        <v>249</v>
      </c>
      <c r="U111" s="79" t="s">
        <v>249</v>
      </c>
      <c r="V111" s="79" t="s">
        <v>249</v>
      </c>
      <c r="W111" s="79" t="s">
        <v>249</v>
      </c>
      <c r="X111" s="79" t="s">
        <v>250</v>
      </c>
      <c r="Y111" s="79" t="s">
        <v>250</v>
      </c>
      <c r="Z111" s="79" t="s">
        <v>250</v>
      </c>
      <c r="AA111" s="79" t="s">
        <v>250</v>
      </c>
      <c r="AB111" s="79" t="s">
        <v>250</v>
      </c>
      <c r="AC111" s="79" t="s">
        <v>250</v>
      </c>
      <c r="AD111" s="79" t="s">
        <v>250</v>
      </c>
      <c r="AE111" s="79" t="s">
        <v>250</v>
      </c>
      <c r="AF111" s="79" t="s">
        <v>250</v>
      </c>
      <c r="AG111" s="79" t="s">
        <v>253</v>
      </c>
      <c r="AH111" s="79" t="s">
        <v>253</v>
      </c>
      <c r="AI111" s="79" t="s">
        <v>253</v>
      </c>
      <c r="AJ111" s="79" t="s">
        <v>253</v>
      </c>
      <c r="AK111" s="79" t="s">
        <v>253</v>
      </c>
      <c r="AL111" s="79" t="s">
        <v>253</v>
      </c>
      <c r="AM111" s="79" t="s">
        <v>253</v>
      </c>
      <c r="AN111" s="79" t="s">
        <v>253</v>
      </c>
      <c r="AO111" s="79" t="s">
        <v>256</v>
      </c>
      <c r="AP111" s="79" t="s">
        <v>256</v>
      </c>
      <c r="AQ111" s="79" t="s">
        <v>256</v>
      </c>
      <c r="AR111" s="79" t="s">
        <v>256</v>
      </c>
      <c r="AS111" s="79" t="s">
        <v>256</v>
      </c>
      <c r="AT111" s="79" t="s">
        <v>256</v>
      </c>
      <c r="AU111" s="79" t="s">
        <v>256</v>
      </c>
      <c r="AV111" s="79" t="s">
        <v>256</v>
      </c>
      <c r="AW111" s="79" t="s">
        <v>256</v>
      </c>
      <c r="AX111" s="79" t="s">
        <v>261</v>
      </c>
      <c r="AY111" s="79" t="s">
        <v>261</v>
      </c>
      <c r="AZ111" s="79" t="s">
        <v>261</v>
      </c>
      <c r="BA111" s="79" t="s">
        <v>261</v>
      </c>
      <c r="BB111" s="79" t="s">
        <v>261</v>
      </c>
      <c r="BC111" s="79" t="s">
        <v>261</v>
      </c>
      <c r="BD111" s="79" t="s">
        <v>261</v>
      </c>
      <c r="BE111" s="79" t="s">
        <v>261</v>
      </c>
      <c r="BF111" s="79" t="s">
        <v>261</v>
      </c>
      <c r="BG111" s="79" t="s">
        <v>265</v>
      </c>
      <c r="BH111" s="79" t="s">
        <v>265</v>
      </c>
      <c r="BI111" s="79" t="s">
        <v>265</v>
      </c>
      <c r="BJ111" s="79" t="s">
        <v>265</v>
      </c>
      <c r="BK111" s="79" t="s">
        <v>265</v>
      </c>
      <c r="BL111" s="79" t="s">
        <v>265</v>
      </c>
      <c r="BM111" s="79" t="s">
        <v>265</v>
      </c>
      <c r="BN111" s="79" t="s">
        <v>265</v>
      </c>
      <c r="BO111" s="79" t="s">
        <v>265</v>
      </c>
      <c r="BP111" s="79" t="s">
        <v>266</v>
      </c>
      <c r="BQ111" s="79" t="s">
        <v>266</v>
      </c>
      <c r="BR111" s="79" t="s">
        <v>266</v>
      </c>
      <c r="BS111" s="79" t="s">
        <v>266</v>
      </c>
      <c r="BT111" s="79" t="s">
        <v>266</v>
      </c>
    </row>
    <row r="112" spans="2:72" x14ac:dyDescent="0.3">
      <c r="B112" s="79">
        <f t="shared" si="4"/>
        <v>258</v>
      </c>
      <c r="C112" s="79" t="s">
        <v>244</v>
      </c>
      <c r="D112" s="79" t="s">
        <v>244</v>
      </c>
      <c r="E112" s="79" t="s">
        <v>244</v>
      </c>
      <c r="F112" s="79" t="s">
        <v>244</v>
      </c>
      <c r="G112" s="79" t="s">
        <v>243</v>
      </c>
      <c r="H112" s="79" t="s">
        <v>243</v>
      </c>
      <c r="I112" s="79" t="s">
        <v>243</v>
      </c>
      <c r="J112" s="79" t="s">
        <v>243</v>
      </c>
      <c r="K112" s="79" t="s">
        <v>243</v>
      </c>
      <c r="L112" s="79" t="s">
        <v>243</v>
      </c>
      <c r="M112" s="79" t="s">
        <v>243</v>
      </c>
      <c r="N112" s="79" t="s">
        <v>243</v>
      </c>
      <c r="O112" s="79" t="s">
        <v>243</v>
      </c>
      <c r="P112" s="79" t="s">
        <v>249</v>
      </c>
      <c r="Q112" s="79" t="s">
        <v>249</v>
      </c>
      <c r="R112" s="79" t="s">
        <v>249</v>
      </c>
      <c r="S112" s="79" t="s">
        <v>249</v>
      </c>
      <c r="T112" s="79" t="s">
        <v>249</v>
      </c>
      <c r="U112" s="79" t="s">
        <v>249</v>
      </c>
      <c r="V112" s="79" t="s">
        <v>249</v>
      </c>
      <c r="W112" s="79" t="s">
        <v>249</v>
      </c>
      <c r="X112" s="79" t="s">
        <v>249</v>
      </c>
      <c r="Y112" s="79" t="s">
        <v>250</v>
      </c>
      <c r="Z112" s="79" t="s">
        <v>250</v>
      </c>
      <c r="AA112" s="79" t="s">
        <v>250</v>
      </c>
      <c r="AB112" s="79" t="s">
        <v>250</v>
      </c>
      <c r="AC112" s="79" t="s">
        <v>250</v>
      </c>
      <c r="AD112" s="79" t="s">
        <v>250</v>
      </c>
      <c r="AE112" s="79" t="s">
        <v>250</v>
      </c>
      <c r="AF112" s="79" t="s">
        <v>250</v>
      </c>
      <c r="AG112" s="79" t="s">
        <v>253</v>
      </c>
      <c r="AH112" s="79" t="s">
        <v>253</v>
      </c>
      <c r="AI112" s="79" t="s">
        <v>253</v>
      </c>
      <c r="AJ112" s="79" t="s">
        <v>253</v>
      </c>
      <c r="AK112" s="79" t="s">
        <v>253</v>
      </c>
      <c r="AL112" s="79" t="s">
        <v>253</v>
      </c>
      <c r="AM112" s="79" t="s">
        <v>253</v>
      </c>
      <c r="AN112" s="79" t="s">
        <v>253</v>
      </c>
      <c r="AO112" s="79" t="s">
        <v>253</v>
      </c>
      <c r="AP112" s="79" t="s">
        <v>256</v>
      </c>
      <c r="AQ112" s="79" t="s">
        <v>256</v>
      </c>
      <c r="AR112" s="79" t="s">
        <v>256</v>
      </c>
      <c r="AS112" s="79" t="s">
        <v>256</v>
      </c>
      <c r="AT112" s="79" t="s">
        <v>256</v>
      </c>
      <c r="AU112" s="79" t="s">
        <v>256</v>
      </c>
      <c r="AV112" s="79" t="s">
        <v>256</v>
      </c>
      <c r="AW112" s="79" t="s">
        <v>256</v>
      </c>
      <c r="AX112" s="79" t="s">
        <v>256</v>
      </c>
      <c r="AY112" s="79" t="s">
        <v>261</v>
      </c>
      <c r="AZ112" s="79" t="s">
        <v>261</v>
      </c>
      <c r="BA112" s="79" t="s">
        <v>261</v>
      </c>
      <c r="BB112" s="79" t="s">
        <v>261</v>
      </c>
      <c r="BC112" s="79" t="s">
        <v>261</v>
      </c>
      <c r="BD112" s="79" t="s">
        <v>261</v>
      </c>
      <c r="BE112" s="79" t="s">
        <v>261</v>
      </c>
      <c r="BF112" s="79" t="s">
        <v>261</v>
      </c>
      <c r="BG112" s="79" t="s">
        <v>261</v>
      </c>
      <c r="BH112" s="79" t="s">
        <v>265</v>
      </c>
      <c r="BI112" s="79" t="s">
        <v>265</v>
      </c>
      <c r="BJ112" s="79" t="s">
        <v>265</v>
      </c>
      <c r="BK112" s="79" t="s">
        <v>265</v>
      </c>
      <c r="BL112" s="79" t="s">
        <v>265</v>
      </c>
      <c r="BM112" s="79" t="s">
        <v>265</v>
      </c>
      <c r="BN112" s="79" t="s">
        <v>265</v>
      </c>
      <c r="BO112" s="79" t="s">
        <v>265</v>
      </c>
      <c r="BP112" s="79" t="s">
        <v>265</v>
      </c>
      <c r="BQ112" s="79" t="s">
        <v>266</v>
      </c>
      <c r="BR112" s="79" t="s">
        <v>266</v>
      </c>
      <c r="BS112" s="79" t="s">
        <v>266</v>
      </c>
      <c r="BT112" s="79" t="s">
        <v>266</v>
      </c>
    </row>
    <row r="113" spans="2:72" x14ac:dyDescent="0.3">
      <c r="B113" s="79">
        <f t="shared" si="4"/>
        <v>260</v>
      </c>
      <c r="C113" s="79" t="s">
        <v>244</v>
      </c>
      <c r="D113" s="79" t="s">
        <v>244</v>
      </c>
      <c r="E113" s="79" t="s">
        <v>244</v>
      </c>
      <c r="F113" s="79" t="s">
        <v>244</v>
      </c>
      <c r="G113" s="79" t="s">
        <v>244</v>
      </c>
      <c r="H113" s="79" t="s">
        <v>243</v>
      </c>
      <c r="I113" s="79" t="s">
        <v>243</v>
      </c>
      <c r="J113" s="79" t="s">
        <v>243</v>
      </c>
      <c r="K113" s="79" t="s">
        <v>243</v>
      </c>
      <c r="L113" s="79" t="s">
        <v>243</v>
      </c>
      <c r="M113" s="79" t="s">
        <v>243</v>
      </c>
      <c r="N113" s="79" t="s">
        <v>243</v>
      </c>
      <c r="O113" s="79" t="s">
        <v>243</v>
      </c>
      <c r="P113" s="79" t="s">
        <v>249</v>
      </c>
      <c r="Q113" s="79" t="s">
        <v>249</v>
      </c>
      <c r="R113" s="79" t="s">
        <v>249</v>
      </c>
      <c r="S113" s="79" t="s">
        <v>249</v>
      </c>
      <c r="T113" s="79" t="s">
        <v>249</v>
      </c>
      <c r="U113" s="79" t="s">
        <v>249</v>
      </c>
      <c r="V113" s="79" t="s">
        <v>249</v>
      </c>
      <c r="W113" s="79" t="s">
        <v>249</v>
      </c>
      <c r="X113" s="79" t="s">
        <v>249</v>
      </c>
      <c r="Y113" s="79" t="s">
        <v>250</v>
      </c>
      <c r="Z113" s="79" t="s">
        <v>250</v>
      </c>
      <c r="AA113" s="79" t="s">
        <v>250</v>
      </c>
      <c r="AB113" s="79" t="s">
        <v>250</v>
      </c>
      <c r="AC113" s="79" t="s">
        <v>250</v>
      </c>
      <c r="AD113" s="79" t="s">
        <v>250</v>
      </c>
      <c r="AE113" s="79" t="s">
        <v>250</v>
      </c>
      <c r="AF113" s="79" t="s">
        <v>250</v>
      </c>
      <c r="AG113" s="79" t="s">
        <v>250</v>
      </c>
      <c r="AH113" s="79" t="s">
        <v>253</v>
      </c>
      <c r="AI113" s="79" t="s">
        <v>253</v>
      </c>
      <c r="AJ113" s="79" t="s">
        <v>253</v>
      </c>
      <c r="AK113" s="79" t="s">
        <v>253</v>
      </c>
      <c r="AL113" s="79" t="s">
        <v>253</v>
      </c>
      <c r="AM113" s="79" t="s">
        <v>253</v>
      </c>
      <c r="AN113" s="79" t="s">
        <v>253</v>
      </c>
      <c r="AO113" s="79" t="s">
        <v>253</v>
      </c>
      <c r="AP113" s="79" t="s">
        <v>253</v>
      </c>
      <c r="AQ113" s="79" t="s">
        <v>256</v>
      </c>
      <c r="AR113" s="79" t="s">
        <v>256</v>
      </c>
      <c r="AS113" s="79" t="s">
        <v>256</v>
      </c>
      <c r="AT113" s="79" t="s">
        <v>256</v>
      </c>
      <c r="AU113" s="79" t="s">
        <v>256</v>
      </c>
      <c r="AV113" s="79" t="s">
        <v>256</v>
      </c>
      <c r="AW113" s="79" t="s">
        <v>256</v>
      </c>
      <c r="AX113" s="79" t="s">
        <v>256</v>
      </c>
      <c r="AY113" s="79" t="s">
        <v>256</v>
      </c>
      <c r="AZ113" s="79" t="s">
        <v>261</v>
      </c>
      <c r="BA113" s="79" t="s">
        <v>261</v>
      </c>
      <c r="BB113" s="79" t="s">
        <v>261</v>
      </c>
      <c r="BC113" s="79" t="s">
        <v>261</v>
      </c>
      <c r="BD113" s="79" t="s">
        <v>261</v>
      </c>
      <c r="BE113" s="79" t="s">
        <v>261</v>
      </c>
      <c r="BF113" s="79" t="s">
        <v>261</v>
      </c>
      <c r="BG113" s="79" t="s">
        <v>261</v>
      </c>
      <c r="BH113" s="79" t="s">
        <v>265</v>
      </c>
      <c r="BI113" s="79" t="s">
        <v>265</v>
      </c>
      <c r="BJ113" s="79" t="s">
        <v>265</v>
      </c>
      <c r="BK113" s="79" t="s">
        <v>265</v>
      </c>
      <c r="BL113" s="79" t="s">
        <v>265</v>
      </c>
      <c r="BM113" s="79" t="s">
        <v>265</v>
      </c>
      <c r="BN113" s="79" t="s">
        <v>265</v>
      </c>
      <c r="BO113" s="79" t="s">
        <v>265</v>
      </c>
      <c r="BP113" s="79" t="s">
        <v>265</v>
      </c>
      <c r="BQ113" s="79" t="s">
        <v>265</v>
      </c>
      <c r="BR113" s="79" t="s">
        <v>266</v>
      </c>
      <c r="BS113" s="79" t="s">
        <v>266</v>
      </c>
      <c r="BT113" s="79" t="s">
        <v>266</v>
      </c>
    </row>
    <row r="114" spans="2:72" x14ac:dyDescent="0.3">
      <c r="B114" s="79">
        <f t="shared" si="4"/>
        <v>262</v>
      </c>
      <c r="C114" s="79" t="s">
        <v>244</v>
      </c>
      <c r="D114" s="79" t="s">
        <v>244</v>
      </c>
      <c r="E114" s="79" t="s">
        <v>244</v>
      </c>
      <c r="F114" s="79" t="s">
        <v>244</v>
      </c>
      <c r="G114" s="79" t="s">
        <v>244</v>
      </c>
      <c r="H114" s="79" t="s">
        <v>243</v>
      </c>
      <c r="I114" s="79" t="s">
        <v>243</v>
      </c>
      <c r="J114" s="79" t="s">
        <v>243</v>
      </c>
      <c r="K114" s="79" t="s">
        <v>243</v>
      </c>
      <c r="L114" s="79" t="s">
        <v>243</v>
      </c>
      <c r="M114" s="79" t="s">
        <v>243</v>
      </c>
      <c r="N114" s="79" t="s">
        <v>243</v>
      </c>
      <c r="O114" s="79" t="s">
        <v>243</v>
      </c>
      <c r="P114" s="79" t="s">
        <v>243</v>
      </c>
      <c r="Q114" s="79" t="s">
        <v>249</v>
      </c>
      <c r="R114" s="79" t="s">
        <v>249</v>
      </c>
      <c r="S114" s="79" t="s">
        <v>249</v>
      </c>
      <c r="T114" s="79" t="s">
        <v>249</v>
      </c>
      <c r="U114" s="79" t="s">
        <v>249</v>
      </c>
      <c r="V114" s="79" t="s">
        <v>249</v>
      </c>
      <c r="W114" s="79" t="s">
        <v>249</v>
      </c>
      <c r="X114" s="79" t="s">
        <v>249</v>
      </c>
      <c r="Y114" s="79" t="s">
        <v>249</v>
      </c>
      <c r="Z114" s="79" t="s">
        <v>250</v>
      </c>
      <c r="AA114" s="79" t="s">
        <v>250</v>
      </c>
      <c r="AB114" s="79" t="s">
        <v>250</v>
      </c>
      <c r="AC114" s="79" t="s">
        <v>250</v>
      </c>
      <c r="AD114" s="79" t="s">
        <v>250</v>
      </c>
      <c r="AE114" s="79" t="s">
        <v>250</v>
      </c>
      <c r="AF114" s="79" t="s">
        <v>250</v>
      </c>
      <c r="AG114" s="79" t="s">
        <v>250</v>
      </c>
      <c r="AH114" s="79" t="s">
        <v>250</v>
      </c>
      <c r="AI114" s="79" t="s">
        <v>253</v>
      </c>
      <c r="AJ114" s="79" t="s">
        <v>253</v>
      </c>
      <c r="AK114" s="79" t="s">
        <v>253</v>
      </c>
      <c r="AL114" s="79" t="s">
        <v>253</v>
      </c>
      <c r="AM114" s="79" t="s">
        <v>253</v>
      </c>
      <c r="AN114" s="79" t="s">
        <v>253</v>
      </c>
      <c r="AO114" s="79" t="s">
        <v>253</v>
      </c>
      <c r="AP114" s="79" t="s">
        <v>253</v>
      </c>
      <c r="AQ114" s="79" t="s">
        <v>253</v>
      </c>
      <c r="AR114" s="79" t="s">
        <v>256</v>
      </c>
      <c r="AS114" s="79" t="s">
        <v>256</v>
      </c>
      <c r="AT114" s="79" t="s">
        <v>256</v>
      </c>
      <c r="AU114" s="79" t="s">
        <v>256</v>
      </c>
      <c r="AV114" s="79" t="s">
        <v>256</v>
      </c>
      <c r="AW114" s="79" t="s">
        <v>256</v>
      </c>
      <c r="AX114" s="79" t="s">
        <v>256</v>
      </c>
      <c r="AY114" s="79" t="s">
        <v>256</v>
      </c>
      <c r="AZ114" s="79" t="s">
        <v>256</v>
      </c>
      <c r="BA114" s="79" t="s">
        <v>261</v>
      </c>
      <c r="BB114" s="79" t="s">
        <v>261</v>
      </c>
      <c r="BC114" s="79" t="s">
        <v>261</v>
      </c>
      <c r="BD114" s="79" t="s">
        <v>261</v>
      </c>
      <c r="BE114" s="79" t="s">
        <v>261</v>
      </c>
      <c r="BF114" s="79" t="s">
        <v>261</v>
      </c>
      <c r="BG114" s="79"/>
      <c r="BH114" s="79" t="s">
        <v>265</v>
      </c>
      <c r="BI114" s="79" t="s">
        <v>265</v>
      </c>
      <c r="BJ114" s="79" t="s">
        <v>265</v>
      </c>
      <c r="BK114" s="79" t="s">
        <v>265</v>
      </c>
      <c r="BL114" s="79" t="s">
        <v>265</v>
      </c>
      <c r="BM114" s="79" t="s">
        <v>265</v>
      </c>
      <c r="BN114" s="79" t="s">
        <v>265</v>
      </c>
      <c r="BO114" s="79" t="s">
        <v>265</v>
      </c>
      <c r="BP114" s="79" t="s">
        <v>265</v>
      </c>
      <c r="BQ114" s="79" t="s">
        <v>265</v>
      </c>
      <c r="BR114" s="79" t="s">
        <v>265</v>
      </c>
      <c r="BS114" s="79" t="s">
        <v>266</v>
      </c>
      <c r="BT114" s="79" t="s">
        <v>266</v>
      </c>
    </row>
    <row r="115" spans="2:72" x14ac:dyDescent="0.3">
      <c r="B115" s="79">
        <f t="shared" si="4"/>
        <v>264</v>
      </c>
      <c r="C115" s="79" t="s">
        <v>244</v>
      </c>
      <c r="D115" s="79" t="s">
        <v>244</v>
      </c>
      <c r="E115" s="79" t="s">
        <v>244</v>
      </c>
      <c r="F115" s="79" t="s">
        <v>244</v>
      </c>
      <c r="G115" s="79" t="s">
        <v>244</v>
      </c>
      <c r="H115" s="79" t="s">
        <v>244</v>
      </c>
      <c r="I115" s="79" t="s">
        <v>243</v>
      </c>
      <c r="J115" s="79" t="s">
        <v>243</v>
      </c>
      <c r="K115" s="79" t="s">
        <v>243</v>
      </c>
      <c r="L115" s="79" t="s">
        <v>243</v>
      </c>
      <c r="M115" s="79" t="s">
        <v>243</v>
      </c>
      <c r="N115" s="79" t="s">
        <v>243</v>
      </c>
      <c r="O115" s="79" t="s">
        <v>243</v>
      </c>
      <c r="P115" s="79" t="s">
        <v>243</v>
      </c>
      <c r="Q115" s="79" t="s">
        <v>243</v>
      </c>
      <c r="R115" s="79" t="s">
        <v>249</v>
      </c>
      <c r="S115" s="79" t="s">
        <v>249</v>
      </c>
      <c r="T115" s="79" t="s">
        <v>249</v>
      </c>
      <c r="U115" s="79" t="s">
        <v>249</v>
      </c>
      <c r="V115" s="79" t="s">
        <v>249</v>
      </c>
      <c r="W115" s="79" t="s">
        <v>249</v>
      </c>
      <c r="X115" s="79" t="s">
        <v>249</v>
      </c>
      <c r="Y115" s="79" t="s">
        <v>249</v>
      </c>
      <c r="Z115" s="79" t="s">
        <v>249</v>
      </c>
      <c r="AA115" s="79" t="s">
        <v>250</v>
      </c>
      <c r="AB115" s="79" t="s">
        <v>250</v>
      </c>
      <c r="AC115" s="79" t="s">
        <v>250</v>
      </c>
      <c r="AD115" s="79" t="s">
        <v>250</v>
      </c>
      <c r="AE115" s="79" t="s">
        <v>250</v>
      </c>
      <c r="AF115" s="79" t="s">
        <v>250</v>
      </c>
      <c r="AG115" s="79" t="s">
        <v>250</v>
      </c>
      <c r="AH115" s="79" t="s">
        <v>250</v>
      </c>
      <c r="AI115" s="79" t="s">
        <v>250</v>
      </c>
      <c r="AJ115" s="79" t="s">
        <v>253</v>
      </c>
      <c r="AK115" s="79" t="s">
        <v>253</v>
      </c>
      <c r="AL115" s="79" t="s">
        <v>253</v>
      </c>
      <c r="AM115" s="79" t="s">
        <v>253</v>
      </c>
      <c r="AN115" s="79" t="s">
        <v>253</v>
      </c>
      <c r="AO115" s="79" t="s">
        <v>253</v>
      </c>
      <c r="AP115" s="79" t="s">
        <v>253</v>
      </c>
      <c r="AQ115" s="79" t="s">
        <v>253</v>
      </c>
      <c r="AR115" s="79" t="s">
        <v>253</v>
      </c>
      <c r="AS115" s="79" t="s">
        <v>256</v>
      </c>
      <c r="AT115" s="79" t="s">
        <v>256</v>
      </c>
      <c r="AU115" s="79" t="s">
        <v>256</v>
      </c>
      <c r="AV115" s="79" t="s">
        <v>256</v>
      </c>
      <c r="AW115" s="79" t="s">
        <v>256</v>
      </c>
      <c r="AX115" s="79" t="s">
        <v>256</v>
      </c>
      <c r="AY115" s="79" t="s">
        <v>256</v>
      </c>
      <c r="AZ115" s="79" t="s">
        <v>256</v>
      </c>
      <c r="BA115" s="79" t="s">
        <v>256</v>
      </c>
      <c r="BB115" s="79" t="s">
        <v>261</v>
      </c>
      <c r="BC115" s="79" t="s">
        <v>261</v>
      </c>
      <c r="BD115" s="79" t="s">
        <v>261</v>
      </c>
      <c r="BE115" s="79" t="s">
        <v>261</v>
      </c>
      <c r="BF115" s="79" t="s">
        <v>261</v>
      </c>
      <c r="BG115" s="79"/>
      <c r="BH115" s="79"/>
      <c r="BI115" s="79" t="s">
        <v>265</v>
      </c>
      <c r="BJ115" s="79" t="s">
        <v>265</v>
      </c>
      <c r="BK115" s="79" t="s">
        <v>265</v>
      </c>
      <c r="BL115" s="79" t="s">
        <v>265</v>
      </c>
      <c r="BM115" s="79" t="s">
        <v>265</v>
      </c>
      <c r="BN115" s="79" t="s">
        <v>265</v>
      </c>
      <c r="BO115" s="79" t="s">
        <v>265</v>
      </c>
      <c r="BP115" s="79" t="s">
        <v>265</v>
      </c>
      <c r="BQ115" s="79" t="s">
        <v>265</v>
      </c>
      <c r="BR115" s="79" t="s">
        <v>265</v>
      </c>
      <c r="BS115" s="79" t="s">
        <v>265</v>
      </c>
      <c r="BT115" s="79" t="s">
        <v>266</v>
      </c>
    </row>
    <row r="116" spans="2:72" x14ac:dyDescent="0.3">
      <c r="B116" s="79">
        <f t="shared" si="4"/>
        <v>266</v>
      </c>
      <c r="C116" s="79" t="s">
        <v>244</v>
      </c>
      <c r="D116" s="79" t="s">
        <v>244</v>
      </c>
      <c r="E116" s="79" t="s">
        <v>244</v>
      </c>
      <c r="F116" s="79" t="s">
        <v>244</v>
      </c>
      <c r="G116" s="79" t="s">
        <v>244</v>
      </c>
      <c r="H116" s="79" t="s">
        <v>244</v>
      </c>
      <c r="I116" s="79" t="s">
        <v>244</v>
      </c>
      <c r="J116" s="79" t="s">
        <v>243</v>
      </c>
      <c r="K116" s="79" t="s">
        <v>243</v>
      </c>
      <c r="L116" s="79" t="s">
        <v>243</v>
      </c>
      <c r="M116" s="79" t="s">
        <v>243</v>
      </c>
      <c r="N116" s="79" t="s">
        <v>243</v>
      </c>
      <c r="O116" s="79" t="s">
        <v>243</v>
      </c>
      <c r="P116" s="79" t="s">
        <v>243</v>
      </c>
      <c r="Q116" s="79" t="s">
        <v>243</v>
      </c>
      <c r="R116" s="79" t="s">
        <v>243</v>
      </c>
      <c r="S116" s="79" t="s">
        <v>249</v>
      </c>
      <c r="T116" s="79" t="s">
        <v>249</v>
      </c>
      <c r="U116" s="79" t="s">
        <v>249</v>
      </c>
      <c r="V116" s="79" t="s">
        <v>249</v>
      </c>
      <c r="W116" s="79" t="s">
        <v>249</v>
      </c>
      <c r="X116" s="79" t="s">
        <v>249</v>
      </c>
      <c r="Y116" s="79" t="s">
        <v>249</v>
      </c>
      <c r="Z116" s="79" t="s">
        <v>249</v>
      </c>
      <c r="AA116" s="79" t="s">
        <v>249</v>
      </c>
      <c r="AB116" s="79" t="s">
        <v>250</v>
      </c>
      <c r="AC116" s="79" t="s">
        <v>250</v>
      </c>
      <c r="AD116" s="79" t="s">
        <v>250</v>
      </c>
      <c r="AE116" s="79" t="s">
        <v>250</v>
      </c>
      <c r="AF116" s="79" t="s">
        <v>250</v>
      </c>
      <c r="AG116" s="79" t="s">
        <v>250</v>
      </c>
      <c r="AH116" s="79" t="s">
        <v>250</v>
      </c>
      <c r="AI116" s="79" t="s">
        <v>250</v>
      </c>
      <c r="AJ116" s="79" t="s">
        <v>250</v>
      </c>
      <c r="AK116" s="79" t="s">
        <v>253</v>
      </c>
      <c r="AL116" s="79" t="s">
        <v>253</v>
      </c>
      <c r="AM116" s="79" t="s">
        <v>253</v>
      </c>
      <c r="AN116" s="79" t="s">
        <v>253</v>
      </c>
      <c r="AO116" s="79" t="s">
        <v>253</v>
      </c>
      <c r="AP116" s="79" t="s">
        <v>253</v>
      </c>
      <c r="AQ116" s="79" t="s">
        <v>253</v>
      </c>
      <c r="AR116" s="79" t="s">
        <v>253</v>
      </c>
      <c r="AS116" s="79" t="s">
        <v>253</v>
      </c>
      <c r="AT116" s="79" t="s">
        <v>256</v>
      </c>
      <c r="AU116" s="79" t="s">
        <v>256</v>
      </c>
      <c r="AV116" s="79" t="s">
        <v>256</v>
      </c>
      <c r="AW116" s="79" t="s">
        <v>256</v>
      </c>
      <c r="AX116" s="79" t="s">
        <v>256</v>
      </c>
      <c r="AY116" s="79" t="s">
        <v>256</v>
      </c>
      <c r="AZ116" s="79" t="s">
        <v>256</v>
      </c>
      <c r="BA116" s="79" t="s">
        <v>256</v>
      </c>
      <c r="BB116" s="79" t="s">
        <v>256</v>
      </c>
      <c r="BC116" s="79" t="s">
        <v>261</v>
      </c>
      <c r="BD116" s="79" t="s">
        <v>261</v>
      </c>
      <c r="BE116" s="79" t="s">
        <v>261</v>
      </c>
      <c r="BF116" s="79" t="s">
        <v>261</v>
      </c>
      <c r="BG116" s="79"/>
      <c r="BH116" s="79"/>
      <c r="BI116" s="79"/>
      <c r="BJ116" s="79" t="s">
        <v>265</v>
      </c>
      <c r="BK116" s="79" t="s">
        <v>265</v>
      </c>
      <c r="BL116" s="79" t="s">
        <v>265</v>
      </c>
      <c r="BM116" s="79" t="s">
        <v>265</v>
      </c>
      <c r="BN116" s="79" t="s">
        <v>265</v>
      </c>
      <c r="BO116" s="79" t="s">
        <v>265</v>
      </c>
      <c r="BP116" s="79" t="s">
        <v>265</v>
      </c>
      <c r="BQ116" s="79" t="s">
        <v>265</v>
      </c>
      <c r="BR116" s="79" t="s">
        <v>265</v>
      </c>
      <c r="BS116" s="79" t="s">
        <v>265</v>
      </c>
      <c r="BT116" s="79" t="s">
        <v>265</v>
      </c>
    </row>
    <row r="117" spans="2:72" x14ac:dyDescent="0.3">
      <c r="B117" s="79">
        <f t="shared" si="4"/>
        <v>268</v>
      </c>
      <c r="C117" s="79" t="s">
        <v>244</v>
      </c>
      <c r="D117" s="79" t="s">
        <v>244</v>
      </c>
      <c r="E117" s="79" t="s">
        <v>244</v>
      </c>
      <c r="F117" s="79" t="s">
        <v>244</v>
      </c>
      <c r="G117" s="79" t="s">
        <v>244</v>
      </c>
      <c r="H117" s="79" t="s">
        <v>244</v>
      </c>
      <c r="I117" s="79" t="s">
        <v>244</v>
      </c>
      <c r="J117" s="79" t="s">
        <v>243</v>
      </c>
      <c r="K117" s="79" t="s">
        <v>243</v>
      </c>
      <c r="L117" s="79" t="s">
        <v>243</v>
      </c>
      <c r="M117" s="79" t="s">
        <v>243</v>
      </c>
      <c r="N117" s="79" t="s">
        <v>243</v>
      </c>
      <c r="O117" s="79" t="s">
        <v>243</v>
      </c>
      <c r="P117" s="79" t="s">
        <v>243</v>
      </c>
      <c r="Q117" s="79" t="s">
        <v>243</v>
      </c>
      <c r="R117" s="79" t="s">
        <v>243</v>
      </c>
      <c r="S117" s="79" t="s">
        <v>249</v>
      </c>
      <c r="T117" s="79" t="s">
        <v>249</v>
      </c>
      <c r="U117" s="79" t="s">
        <v>249</v>
      </c>
      <c r="V117" s="79" t="s">
        <v>249</v>
      </c>
      <c r="W117" s="79" t="s">
        <v>249</v>
      </c>
      <c r="X117" s="79" t="s">
        <v>249</v>
      </c>
      <c r="Y117" s="79" t="s">
        <v>249</v>
      </c>
      <c r="Z117" s="79" t="s">
        <v>249</v>
      </c>
      <c r="AA117" s="79" t="s">
        <v>249</v>
      </c>
      <c r="AB117" s="79" t="s">
        <v>250</v>
      </c>
      <c r="AC117" s="79" t="s">
        <v>250</v>
      </c>
      <c r="AD117" s="79" t="s">
        <v>250</v>
      </c>
      <c r="AE117" s="79" t="s">
        <v>250</v>
      </c>
      <c r="AF117" s="79" t="s">
        <v>250</v>
      </c>
      <c r="AG117" s="79" t="s">
        <v>250</v>
      </c>
      <c r="AH117" s="79" t="s">
        <v>250</v>
      </c>
      <c r="AI117" s="79" t="s">
        <v>250</v>
      </c>
      <c r="AJ117" s="79" t="s">
        <v>250</v>
      </c>
      <c r="AK117" s="79" t="s">
        <v>250</v>
      </c>
      <c r="AL117" s="79" t="s">
        <v>253</v>
      </c>
      <c r="AM117" s="79" t="s">
        <v>253</v>
      </c>
      <c r="AN117" s="79" t="s">
        <v>253</v>
      </c>
      <c r="AO117" s="79" t="s">
        <v>253</v>
      </c>
      <c r="AP117" s="79" t="s">
        <v>253</v>
      </c>
      <c r="AQ117" s="79" t="s">
        <v>253</v>
      </c>
      <c r="AR117" s="79" t="s">
        <v>253</v>
      </c>
      <c r="AS117" s="79" t="s">
        <v>253</v>
      </c>
      <c r="AT117" s="79" t="s">
        <v>253</v>
      </c>
      <c r="AU117" s="79" t="s">
        <v>256</v>
      </c>
      <c r="AV117" s="79" t="s">
        <v>256</v>
      </c>
      <c r="AW117" s="79" t="s">
        <v>256</v>
      </c>
      <c r="AX117" s="79" t="s">
        <v>256</v>
      </c>
      <c r="AY117" s="79" t="s">
        <v>256</v>
      </c>
      <c r="AZ117" s="79" t="s">
        <v>256</v>
      </c>
      <c r="BA117" s="79" t="s">
        <v>256</v>
      </c>
      <c r="BB117" s="79" t="s">
        <v>256</v>
      </c>
      <c r="BC117" s="79" t="s">
        <v>256</v>
      </c>
      <c r="BD117" s="79" t="s">
        <v>261</v>
      </c>
      <c r="BE117" s="79" t="s">
        <v>261</v>
      </c>
      <c r="BF117" s="79" t="s">
        <v>261</v>
      </c>
      <c r="BG117" s="79"/>
      <c r="BH117" s="79"/>
      <c r="BI117" s="79"/>
      <c r="BJ117" s="79"/>
      <c r="BK117" s="79"/>
      <c r="BL117" s="79" t="s">
        <v>265</v>
      </c>
      <c r="BM117" s="79" t="s">
        <v>265</v>
      </c>
      <c r="BN117" s="79" t="s">
        <v>265</v>
      </c>
      <c r="BO117" s="79" t="s">
        <v>265</v>
      </c>
      <c r="BP117" s="79" t="s">
        <v>265</v>
      </c>
      <c r="BQ117" s="79" t="s">
        <v>265</v>
      </c>
      <c r="BR117" s="79" t="s">
        <v>265</v>
      </c>
      <c r="BS117" s="79" t="s">
        <v>265</v>
      </c>
      <c r="BT117" s="79" t="s">
        <v>265</v>
      </c>
    </row>
    <row r="118" spans="2:72" x14ac:dyDescent="0.3">
      <c r="B118" s="79">
        <f t="shared" si="4"/>
        <v>270</v>
      </c>
      <c r="C118" s="79" t="s">
        <v>244</v>
      </c>
      <c r="D118" s="79" t="s">
        <v>244</v>
      </c>
      <c r="E118" s="79" t="s">
        <v>244</v>
      </c>
      <c r="F118" s="79" t="s">
        <v>244</v>
      </c>
      <c r="G118" s="79" t="s">
        <v>244</v>
      </c>
      <c r="H118" s="79" t="s">
        <v>244</v>
      </c>
      <c r="I118" s="79" t="s">
        <v>244</v>
      </c>
      <c r="J118" s="79" t="s">
        <v>244</v>
      </c>
      <c r="K118" s="79" t="s">
        <v>243</v>
      </c>
      <c r="L118" s="79" t="s">
        <v>243</v>
      </c>
      <c r="M118" s="79" t="s">
        <v>243</v>
      </c>
      <c r="N118" s="79" t="s">
        <v>243</v>
      </c>
      <c r="O118" s="79" t="s">
        <v>243</v>
      </c>
      <c r="P118" s="79" t="s">
        <v>243</v>
      </c>
      <c r="Q118" s="79" t="s">
        <v>243</v>
      </c>
      <c r="R118" s="79" t="s">
        <v>243</v>
      </c>
      <c r="S118" s="79" t="s">
        <v>243</v>
      </c>
      <c r="T118" s="79" t="s">
        <v>249</v>
      </c>
      <c r="U118" s="79" t="s">
        <v>249</v>
      </c>
      <c r="V118" s="79" t="s">
        <v>249</v>
      </c>
      <c r="W118" s="79" t="s">
        <v>249</v>
      </c>
      <c r="X118" s="79" t="s">
        <v>249</v>
      </c>
      <c r="Y118" s="79" t="s">
        <v>249</v>
      </c>
      <c r="Z118" s="79" t="s">
        <v>249</v>
      </c>
      <c r="AA118" s="79" t="s">
        <v>249</v>
      </c>
      <c r="AB118" s="79" t="s">
        <v>249</v>
      </c>
      <c r="AC118" s="79" t="s">
        <v>250</v>
      </c>
      <c r="AD118" s="79" t="s">
        <v>250</v>
      </c>
      <c r="AE118" s="79" t="s">
        <v>250</v>
      </c>
      <c r="AF118" s="79" t="s">
        <v>250</v>
      </c>
      <c r="AG118" s="79" t="s">
        <v>250</v>
      </c>
      <c r="AH118" s="79" t="s">
        <v>250</v>
      </c>
      <c r="AI118" s="79" t="s">
        <v>250</v>
      </c>
      <c r="AJ118" s="79" t="s">
        <v>250</v>
      </c>
      <c r="AK118" s="79" t="s">
        <v>250</v>
      </c>
      <c r="AL118" s="79" t="s">
        <v>253</v>
      </c>
      <c r="AM118" s="79" t="s">
        <v>253</v>
      </c>
      <c r="AN118" s="79" t="s">
        <v>253</v>
      </c>
      <c r="AO118" s="79" t="s">
        <v>253</v>
      </c>
      <c r="AP118" s="79" t="s">
        <v>253</v>
      </c>
      <c r="AQ118" s="79" t="s">
        <v>253</v>
      </c>
      <c r="AR118" s="79" t="s">
        <v>253</v>
      </c>
      <c r="AS118" s="79" t="s">
        <v>253</v>
      </c>
      <c r="AT118" s="79" t="s">
        <v>253</v>
      </c>
      <c r="AU118" s="79" t="s">
        <v>253</v>
      </c>
      <c r="AV118" s="79" t="s">
        <v>256</v>
      </c>
      <c r="AW118" s="79" t="s">
        <v>256</v>
      </c>
      <c r="AX118" s="79" t="s">
        <v>256</v>
      </c>
      <c r="AY118" s="79" t="s">
        <v>256</v>
      </c>
      <c r="AZ118" s="79" t="s">
        <v>256</v>
      </c>
      <c r="BA118" s="79" t="s">
        <v>256</v>
      </c>
      <c r="BB118" s="79" t="s">
        <v>256</v>
      </c>
      <c r="BC118" s="79" t="s">
        <v>256</v>
      </c>
      <c r="BD118" s="79" t="s">
        <v>256</v>
      </c>
      <c r="BE118" s="79" t="s">
        <v>261</v>
      </c>
      <c r="BF118" s="79" t="s">
        <v>261</v>
      </c>
      <c r="BG118" s="79"/>
      <c r="BH118" s="79"/>
      <c r="BI118" s="79"/>
      <c r="BJ118" s="79"/>
      <c r="BK118" s="79"/>
      <c r="BL118" s="79"/>
      <c r="BM118" s="79" t="s">
        <v>265</v>
      </c>
      <c r="BN118" s="79" t="s">
        <v>265</v>
      </c>
      <c r="BO118" s="79" t="s">
        <v>265</v>
      </c>
      <c r="BP118" s="79" t="s">
        <v>265</v>
      </c>
      <c r="BQ118" s="79" t="s">
        <v>265</v>
      </c>
      <c r="BR118" s="79" t="s">
        <v>265</v>
      </c>
      <c r="BS118" s="79" t="s">
        <v>265</v>
      </c>
      <c r="BT118" s="79" t="s">
        <v>265</v>
      </c>
    </row>
    <row r="119" spans="2:72" x14ac:dyDescent="0.3">
      <c r="B119" s="79">
        <f t="shared" si="4"/>
        <v>272</v>
      </c>
      <c r="C119" s="79" t="s">
        <v>244</v>
      </c>
      <c r="D119" s="79" t="s">
        <v>244</v>
      </c>
      <c r="E119" s="79" t="s">
        <v>244</v>
      </c>
      <c r="F119" s="79" t="s">
        <v>244</v>
      </c>
      <c r="G119" s="79" t="s">
        <v>244</v>
      </c>
      <c r="H119" s="79" t="s">
        <v>244</v>
      </c>
      <c r="I119" s="79" t="s">
        <v>244</v>
      </c>
      <c r="J119" s="79" t="s">
        <v>244</v>
      </c>
      <c r="K119" s="79" t="s">
        <v>243</v>
      </c>
      <c r="L119" s="79" t="s">
        <v>243</v>
      </c>
      <c r="M119" s="79" t="s">
        <v>243</v>
      </c>
      <c r="N119" s="79" t="s">
        <v>243</v>
      </c>
      <c r="O119" s="79" t="s">
        <v>243</v>
      </c>
      <c r="P119" s="79" t="s">
        <v>243</v>
      </c>
      <c r="Q119" s="79" t="s">
        <v>243</v>
      </c>
      <c r="R119" s="79" t="s">
        <v>243</v>
      </c>
      <c r="S119" s="79" t="s">
        <v>243</v>
      </c>
      <c r="T119" s="79" t="s">
        <v>243</v>
      </c>
      <c r="U119" s="79" t="s">
        <v>249</v>
      </c>
      <c r="V119" s="79" t="s">
        <v>249</v>
      </c>
      <c r="W119" s="79" t="s">
        <v>249</v>
      </c>
      <c r="X119" s="79" t="s">
        <v>249</v>
      </c>
      <c r="Y119" s="79" t="s">
        <v>249</v>
      </c>
      <c r="Z119" s="79" t="s">
        <v>249</v>
      </c>
      <c r="AA119" s="79" t="s">
        <v>249</v>
      </c>
      <c r="AB119" s="79" t="s">
        <v>249</v>
      </c>
      <c r="AC119" s="79" t="s">
        <v>249</v>
      </c>
      <c r="AD119" s="79" t="s">
        <v>250</v>
      </c>
      <c r="AE119" s="79" t="s">
        <v>250</v>
      </c>
      <c r="AF119" s="79" t="s">
        <v>250</v>
      </c>
      <c r="AG119" s="79" t="s">
        <v>250</v>
      </c>
      <c r="AH119" s="79" t="s">
        <v>250</v>
      </c>
      <c r="AI119" s="79" t="s">
        <v>250</v>
      </c>
      <c r="AJ119" s="79" t="s">
        <v>250</v>
      </c>
      <c r="AK119" s="79" t="s">
        <v>250</v>
      </c>
      <c r="AL119" s="79" t="s">
        <v>250</v>
      </c>
      <c r="AM119" s="79" t="s">
        <v>253</v>
      </c>
      <c r="AN119" s="79" t="s">
        <v>253</v>
      </c>
      <c r="AO119" s="79" t="s">
        <v>253</v>
      </c>
      <c r="AP119" s="79" t="s">
        <v>253</v>
      </c>
      <c r="AQ119" s="79" t="s">
        <v>253</v>
      </c>
      <c r="AR119" s="79" t="s">
        <v>253</v>
      </c>
      <c r="AS119" s="79" t="s">
        <v>253</v>
      </c>
      <c r="AT119" s="79" t="s">
        <v>253</v>
      </c>
      <c r="AU119" s="79" t="s">
        <v>253</v>
      </c>
      <c r="AV119" s="79" t="s">
        <v>253</v>
      </c>
      <c r="AW119" s="79" t="s">
        <v>256</v>
      </c>
      <c r="AX119" s="79" t="s">
        <v>256</v>
      </c>
      <c r="AY119" s="79" t="s">
        <v>256</v>
      </c>
      <c r="AZ119" s="79" t="s">
        <v>256</v>
      </c>
      <c r="BA119" s="79" t="s">
        <v>256</v>
      </c>
      <c r="BB119" s="79" t="s">
        <v>256</v>
      </c>
      <c r="BC119" s="79" t="s">
        <v>256</v>
      </c>
      <c r="BD119" s="79" t="s">
        <v>256</v>
      </c>
      <c r="BE119" s="79" t="s">
        <v>256</v>
      </c>
      <c r="BF119" s="79" t="s">
        <v>261</v>
      </c>
      <c r="BG119" s="79"/>
      <c r="BH119" s="79"/>
      <c r="BI119" s="79"/>
      <c r="BJ119" s="79"/>
      <c r="BK119" s="79"/>
      <c r="BL119" s="79"/>
      <c r="BM119" s="79"/>
      <c r="BN119" s="79" t="s">
        <v>265</v>
      </c>
      <c r="BO119" s="79" t="s">
        <v>265</v>
      </c>
      <c r="BP119" s="79" t="s">
        <v>265</v>
      </c>
      <c r="BQ119" s="79" t="s">
        <v>265</v>
      </c>
      <c r="BR119" s="79" t="s">
        <v>265</v>
      </c>
      <c r="BS119" s="79" t="s">
        <v>265</v>
      </c>
      <c r="BT119" s="79" t="s">
        <v>265</v>
      </c>
    </row>
    <row r="120" spans="2:72" x14ac:dyDescent="0.3">
      <c r="B120" s="79">
        <f t="shared" si="4"/>
        <v>274</v>
      </c>
      <c r="C120" s="79" t="s">
        <v>244</v>
      </c>
      <c r="D120" s="79" t="s">
        <v>244</v>
      </c>
      <c r="E120" s="79" t="s">
        <v>244</v>
      </c>
      <c r="F120" s="79" t="s">
        <v>244</v>
      </c>
      <c r="G120" s="79" t="s">
        <v>244</v>
      </c>
      <c r="H120" s="79" t="s">
        <v>244</v>
      </c>
      <c r="I120" s="79" t="s">
        <v>244</v>
      </c>
      <c r="J120" s="79" t="s">
        <v>244</v>
      </c>
      <c r="K120" s="79" t="s">
        <v>244</v>
      </c>
      <c r="L120" s="79" t="s">
        <v>243</v>
      </c>
      <c r="M120" s="79" t="s">
        <v>243</v>
      </c>
      <c r="N120" s="79" t="s">
        <v>243</v>
      </c>
      <c r="O120" s="79" t="s">
        <v>243</v>
      </c>
      <c r="P120" s="79" t="s">
        <v>243</v>
      </c>
      <c r="Q120" s="79" t="s">
        <v>243</v>
      </c>
      <c r="R120" s="79" t="s">
        <v>243</v>
      </c>
      <c r="S120" s="79" t="s">
        <v>243</v>
      </c>
      <c r="T120" s="79" t="s">
        <v>243</v>
      </c>
      <c r="U120" s="79" t="s">
        <v>249</v>
      </c>
      <c r="V120" s="79" t="s">
        <v>249</v>
      </c>
      <c r="W120" s="79" t="s">
        <v>249</v>
      </c>
      <c r="X120" s="79" t="s">
        <v>249</v>
      </c>
      <c r="Y120" s="79" t="s">
        <v>249</v>
      </c>
      <c r="Z120" s="79" t="s">
        <v>249</v>
      </c>
      <c r="AA120" s="79" t="s">
        <v>249</v>
      </c>
      <c r="AB120" s="79" t="s">
        <v>249</v>
      </c>
      <c r="AC120" s="79" t="s">
        <v>249</v>
      </c>
      <c r="AD120" s="79" t="s">
        <v>249</v>
      </c>
      <c r="AE120" s="79" t="s">
        <v>250</v>
      </c>
      <c r="AF120" s="79" t="s">
        <v>250</v>
      </c>
      <c r="AG120" s="79" t="s">
        <v>250</v>
      </c>
      <c r="AH120" s="79" t="s">
        <v>250</v>
      </c>
      <c r="AI120" s="79" t="s">
        <v>250</v>
      </c>
      <c r="AJ120" s="79" t="s">
        <v>250</v>
      </c>
      <c r="AK120" s="79" t="s">
        <v>250</v>
      </c>
      <c r="AL120" s="79" t="s">
        <v>250</v>
      </c>
      <c r="AM120" s="79" t="s">
        <v>250</v>
      </c>
      <c r="AN120" s="79" t="s">
        <v>253</v>
      </c>
      <c r="AO120" s="79" t="s">
        <v>253</v>
      </c>
      <c r="AP120" s="79" t="s">
        <v>253</v>
      </c>
      <c r="AQ120" s="79" t="s">
        <v>253</v>
      </c>
      <c r="AR120" s="79" t="s">
        <v>253</v>
      </c>
      <c r="AS120" s="79" t="s">
        <v>253</v>
      </c>
      <c r="AT120" s="79" t="s">
        <v>253</v>
      </c>
      <c r="AU120" s="79" t="s">
        <v>253</v>
      </c>
      <c r="AV120" s="79" t="s">
        <v>253</v>
      </c>
      <c r="AW120" s="79" t="s">
        <v>256</v>
      </c>
      <c r="AX120" s="79" t="s">
        <v>256</v>
      </c>
      <c r="AY120" s="79" t="s">
        <v>256</v>
      </c>
      <c r="AZ120" s="79" t="s">
        <v>256</v>
      </c>
      <c r="BA120" s="79" t="s">
        <v>256</v>
      </c>
      <c r="BB120" s="79" t="s">
        <v>256</v>
      </c>
      <c r="BC120" s="79" t="s">
        <v>256</v>
      </c>
      <c r="BD120" s="79" t="s">
        <v>256</v>
      </c>
      <c r="BE120" s="79" t="s">
        <v>256</v>
      </c>
      <c r="BF120" s="79" t="s">
        <v>256</v>
      </c>
      <c r="BG120" s="79"/>
      <c r="BH120" s="79"/>
      <c r="BI120" s="79"/>
      <c r="BJ120" s="79"/>
      <c r="BK120" s="79"/>
      <c r="BL120" s="79"/>
      <c r="BM120" s="79"/>
      <c r="BN120" s="79"/>
      <c r="BO120" s="79" t="s">
        <v>265</v>
      </c>
      <c r="BP120" s="79" t="s">
        <v>265</v>
      </c>
      <c r="BQ120" s="79" t="s">
        <v>265</v>
      </c>
      <c r="BR120" s="79" t="s">
        <v>265</v>
      </c>
      <c r="BS120" s="79" t="s">
        <v>265</v>
      </c>
      <c r="BT120" s="79" t="s">
        <v>265</v>
      </c>
    </row>
    <row r="121" spans="2:72" x14ac:dyDescent="0.3">
      <c r="B121" s="79">
        <f t="shared" si="4"/>
        <v>276</v>
      </c>
      <c r="C121" s="79" t="s">
        <v>244</v>
      </c>
      <c r="D121" s="79" t="s">
        <v>244</v>
      </c>
      <c r="E121" s="79" t="s">
        <v>244</v>
      </c>
      <c r="F121" s="79" t="s">
        <v>244</v>
      </c>
      <c r="G121" s="79" t="s">
        <v>244</v>
      </c>
      <c r="H121" s="79" t="s">
        <v>244</v>
      </c>
      <c r="I121" s="79" t="s">
        <v>244</v>
      </c>
      <c r="J121" s="79" t="s">
        <v>244</v>
      </c>
      <c r="K121" s="79" t="s">
        <v>244</v>
      </c>
      <c r="L121" s="79" t="s">
        <v>244</v>
      </c>
      <c r="M121" s="79" t="s">
        <v>243</v>
      </c>
      <c r="N121" s="79" t="s">
        <v>243</v>
      </c>
      <c r="O121" s="79" t="s">
        <v>243</v>
      </c>
      <c r="P121" s="79" t="s">
        <v>243</v>
      </c>
      <c r="Q121" s="79" t="s">
        <v>243</v>
      </c>
      <c r="R121" s="79" t="s">
        <v>243</v>
      </c>
      <c r="S121" s="79" t="s">
        <v>243</v>
      </c>
      <c r="T121" s="79" t="s">
        <v>243</v>
      </c>
      <c r="U121" s="79" t="s">
        <v>243</v>
      </c>
      <c r="V121" s="79" t="s">
        <v>249</v>
      </c>
      <c r="W121" s="79" t="s">
        <v>249</v>
      </c>
      <c r="X121" s="79" t="s">
        <v>249</v>
      </c>
      <c r="Y121" s="79" t="s">
        <v>249</v>
      </c>
      <c r="Z121" s="79" t="s">
        <v>249</v>
      </c>
      <c r="AA121" s="79" t="s">
        <v>249</v>
      </c>
      <c r="AB121" s="79" t="s">
        <v>249</v>
      </c>
      <c r="AC121" s="79" t="s">
        <v>249</v>
      </c>
      <c r="AD121" s="79" t="s">
        <v>249</v>
      </c>
      <c r="AE121" s="79" t="s">
        <v>249</v>
      </c>
      <c r="AF121" s="79" t="s">
        <v>250</v>
      </c>
      <c r="AG121" s="79" t="s">
        <v>250</v>
      </c>
      <c r="AH121" s="79" t="s">
        <v>250</v>
      </c>
      <c r="AI121" s="79" t="s">
        <v>250</v>
      </c>
      <c r="AJ121" s="79" t="s">
        <v>250</v>
      </c>
      <c r="AK121" s="79" t="s">
        <v>250</v>
      </c>
      <c r="AL121" s="79" t="s">
        <v>250</v>
      </c>
      <c r="AM121" s="79" t="s">
        <v>250</v>
      </c>
      <c r="AN121" s="79" t="s">
        <v>250</v>
      </c>
      <c r="AO121" s="79" t="s">
        <v>253</v>
      </c>
      <c r="AP121" s="79" t="s">
        <v>253</v>
      </c>
      <c r="AQ121" s="79" t="s">
        <v>253</v>
      </c>
      <c r="AR121" s="79" t="s">
        <v>253</v>
      </c>
      <c r="AS121" s="79" t="s">
        <v>253</v>
      </c>
      <c r="AT121" s="79" t="s">
        <v>253</v>
      </c>
      <c r="AU121" s="79" t="s">
        <v>253</v>
      </c>
      <c r="AV121" s="79" t="s">
        <v>253</v>
      </c>
      <c r="AW121" s="79" t="s">
        <v>253</v>
      </c>
      <c r="AX121" s="79" t="s">
        <v>256</v>
      </c>
      <c r="AY121" s="79" t="s">
        <v>256</v>
      </c>
      <c r="AZ121" s="79" t="s">
        <v>256</v>
      </c>
      <c r="BA121" s="79" t="s">
        <v>256</v>
      </c>
      <c r="BB121" s="79" t="s">
        <v>256</v>
      </c>
      <c r="BC121" s="79" t="s">
        <v>256</v>
      </c>
      <c r="BD121" s="79" t="s">
        <v>256</v>
      </c>
      <c r="BE121" s="79" t="s">
        <v>256</v>
      </c>
      <c r="BF121" s="79" t="s">
        <v>256</v>
      </c>
      <c r="BG121" s="79" t="s">
        <v>256</v>
      </c>
      <c r="BH121" s="79"/>
      <c r="BI121" s="79"/>
      <c r="BJ121" s="79"/>
      <c r="BK121" s="79"/>
      <c r="BL121" s="79"/>
      <c r="BM121" s="79"/>
      <c r="BN121" s="79"/>
      <c r="BO121" s="79"/>
      <c r="BP121" s="79" t="s">
        <v>265</v>
      </c>
      <c r="BQ121" s="79" t="s">
        <v>265</v>
      </c>
      <c r="BR121" s="79" t="s">
        <v>265</v>
      </c>
      <c r="BS121" s="79" t="s">
        <v>265</v>
      </c>
      <c r="BT121" s="79" t="s">
        <v>265</v>
      </c>
    </row>
    <row r="122" spans="2:72" x14ac:dyDescent="0.3">
      <c r="B122" s="79">
        <f t="shared" si="4"/>
        <v>278</v>
      </c>
      <c r="C122" s="79" t="s">
        <v>244</v>
      </c>
      <c r="D122" s="79" t="s">
        <v>244</v>
      </c>
      <c r="E122" s="79" t="s">
        <v>244</v>
      </c>
      <c r="F122" s="79" t="s">
        <v>244</v>
      </c>
      <c r="G122" s="79" t="s">
        <v>244</v>
      </c>
      <c r="H122" s="79" t="s">
        <v>244</v>
      </c>
      <c r="I122" s="79" t="s">
        <v>244</v>
      </c>
      <c r="J122" s="79" t="s">
        <v>244</v>
      </c>
      <c r="K122" s="79" t="s">
        <v>244</v>
      </c>
      <c r="L122" s="79" t="s">
        <v>244</v>
      </c>
      <c r="M122" s="79" t="s">
        <v>243</v>
      </c>
      <c r="N122" s="79" t="s">
        <v>243</v>
      </c>
      <c r="O122" s="79" t="s">
        <v>243</v>
      </c>
      <c r="P122" s="79" t="s">
        <v>243</v>
      </c>
      <c r="Q122" s="79" t="s">
        <v>243</v>
      </c>
      <c r="R122" s="79" t="s">
        <v>243</v>
      </c>
      <c r="S122" s="79" t="s">
        <v>243</v>
      </c>
      <c r="T122" s="79" t="s">
        <v>243</v>
      </c>
      <c r="U122" s="79" t="s">
        <v>243</v>
      </c>
      <c r="V122" s="79" t="s">
        <v>243</v>
      </c>
      <c r="W122" s="79" t="s">
        <v>249</v>
      </c>
      <c r="X122" s="79" t="s">
        <v>249</v>
      </c>
      <c r="Y122" s="79" t="s">
        <v>249</v>
      </c>
      <c r="Z122" s="79" t="s">
        <v>249</v>
      </c>
      <c r="AA122" s="79" t="s">
        <v>249</v>
      </c>
      <c r="AB122" s="79" t="s">
        <v>249</v>
      </c>
      <c r="AC122" s="79" t="s">
        <v>249</v>
      </c>
      <c r="AD122" s="79" t="s">
        <v>249</v>
      </c>
      <c r="AE122" s="79" t="s">
        <v>249</v>
      </c>
      <c r="AF122" s="79" t="s">
        <v>250</v>
      </c>
      <c r="AG122" s="79" t="s">
        <v>250</v>
      </c>
      <c r="AH122" s="79" t="s">
        <v>250</v>
      </c>
      <c r="AI122" s="79" t="s">
        <v>250</v>
      </c>
      <c r="AJ122" s="79" t="s">
        <v>250</v>
      </c>
      <c r="AK122" s="79" t="s">
        <v>250</v>
      </c>
      <c r="AL122" s="79" t="s">
        <v>250</v>
      </c>
      <c r="AM122" s="79" t="s">
        <v>250</v>
      </c>
      <c r="AN122" s="79" t="s">
        <v>250</v>
      </c>
      <c r="AO122" s="79" t="s">
        <v>250</v>
      </c>
      <c r="AP122" s="79" t="s">
        <v>253</v>
      </c>
      <c r="AQ122" s="79" t="s">
        <v>253</v>
      </c>
      <c r="AR122" s="79" t="s">
        <v>253</v>
      </c>
      <c r="AS122" s="79" t="s">
        <v>253</v>
      </c>
      <c r="AT122" s="79" t="s">
        <v>253</v>
      </c>
      <c r="AU122" s="79" t="s">
        <v>253</v>
      </c>
      <c r="AV122" s="79" t="s">
        <v>253</v>
      </c>
      <c r="AW122" s="79" t="s">
        <v>253</v>
      </c>
      <c r="AX122" s="79" t="s">
        <v>253</v>
      </c>
      <c r="AY122" s="79" t="s">
        <v>256</v>
      </c>
      <c r="AZ122" s="79" t="s">
        <v>256</v>
      </c>
      <c r="BA122" s="79" t="s">
        <v>256</v>
      </c>
      <c r="BB122" s="79" t="s">
        <v>256</v>
      </c>
      <c r="BC122" s="79" t="s">
        <v>256</v>
      </c>
      <c r="BD122" s="79" t="s">
        <v>256</v>
      </c>
      <c r="BE122" s="79" t="s">
        <v>256</v>
      </c>
      <c r="BF122" s="79" t="s">
        <v>256</v>
      </c>
      <c r="BG122" s="79" t="s">
        <v>256</v>
      </c>
      <c r="BH122" s="79" t="s">
        <v>256</v>
      </c>
      <c r="BI122" s="79"/>
      <c r="BJ122" s="79"/>
      <c r="BK122" s="79"/>
      <c r="BL122" s="79"/>
      <c r="BM122" s="79"/>
      <c r="BN122" s="79"/>
      <c r="BO122" s="79"/>
      <c r="BP122" s="79"/>
      <c r="BQ122" s="79" t="s">
        <v>265</v>
      </c>
      <c r="BR122" s="79" t="s">
        <v>265</v>
      </c>
      <c r="BS122" s="79" t="s">
        <v>265</v>
      </c>
      <c r="BT122" s="79" t="s">
        <v>265</v>
      </c>
    </row>
    <row r="123" spans="2:72" x14ac:dyDescent="0.3">
      <c r="B123" s="79">
        <f t="shared" si="4"/>
        <v>280</v>
      </c>
      <c r="C123" s="79" t="s">
        <v>244</v>
      </c>
      <c r="D123" s="79" t="s">
        <v>244</v>
      </c>
      <c r="E123" s="79" t="s">
        <v>244</v>
      </c>
      <c r="F123" s="79" t="s">
        <v>244</v>
      </c>
      <c r="G123" s="79" t="s">
        <v>244</v>
      </c>
      <c r="H123" s="79" t="s">
        <v>244</v>
      </c>
      <c r="I123" s="79" t="s">
        <v>244</v>
      </c>
      <c r="J123" s="79" t="s">
        <v>244</v>
      </c>
      <c r="K123" s="79" t="s">
        <v>244</v>
      </c>
      <c r="L123" s="79" t="s">
        <v>244</v>
      </c>
      <c r="M123" s="79" t="s">
        <v>244</v>
      </c>
      <c r="N123" s="79" t="s">
        <v>243</v>
      </c>
      <c r="O123" s="79" t="s">
        <v>243</v>
      </c>
      <c r="P123" s="79" t="s">
        <v>243</v>
      </c>
      <c r="Q123" s="79" t="s">
        <v>243</v>
      </c>
      <c r="R123" s="79" t="s">
        <v>243</v>
      </c>
      <c r="S123" s="79" t="s">
        <v>243</v>
      </c>
      <c r="T123" s="79" t="s">
        <v>243</v>
      </c>
      <c r="U123" s="79" t="s">
        <v>243</v>
      </c>
      <c r="V123" s="79" t="s">
        <v>243</v>
      </c>
      <c r="W123" s="79" t="s">
        <v>243</v>
      </c>
      <c r="X123" s="79" t="s">
        <v>249</v>
      </c>
      <c r="Y123" s="79" t="s">
        <v>249</v>
      </c>
      <c r="Z123" s="79" t="s">
        <v>249</v>
      </c>
      <c r="AA123" s="79" t="s">
        <v>249</v>
      </c>
      <c r="AB123" s="79" t="s">
        <v>249</v>
      </c>
      <c r="AC123" s="79" t="s">
        <v>249</v>
      </c>
      <c r="AD123" s="79" t="s">
        <v>249</v>
      </c>
      <c r="AE123" s="79" t="s">
        <v>249</v>
      </c>
      <c r="AF123" s="79" t="s">
        <v>249</v>
      </c>
      <c r="AG123" s="79" t="s">
        <v>250</v>
      </c>
      <c r="AH123" s="79" t="s">
        <v>250</v>
      </c>
      <c r="AI123" s="79" t="s">
        <v>250</v>
      </c>
      <c r="AJ123" s="79" t="s">
        <v>250</v>
      </c>
      <c r="AK123" s="79" t="s">
        <v>250</v>
      </c>
      <c r="AL123" s="79" t="s">
        <v>250</v>
      </c>
      <c r="AM123" s="79" t="s">
        <v>250</v>
      </c>
      <c r="AN123" s="79" t="s">
        <v>250</v>
      </c>
      <c r="AO123" s="79" t="s">
        <v>250</v>
      </c>
      <c r="AP123" s="79" t="s">
        <v>250</v>
      </c>
      <c r="AQ123" s="79" t="s">
        <v>253</v>
      </c>
      <c r="AR123" s="79" t="s">
        <v>253</v>
      </c>
      <c r="AS123" s="79" t="s">
        <v>253</v>
      </c>
      <c r="AT123" s="79" t="s">
        <v>253</v>
      </c>
      <c r="AU123" s="79" t="s">
        <v>253</v>
      </c>
      <c r="AV123" s="79" t="s">
        <v>253</v>
      </c>
      <c r="AW123" s="79" t="s">
        <v>253</v>
      </c>
      <c r="AX123" s="79" t="s">
        <v>253</v>
      </c>
      <c r="AY123" s="79" t="s">
        <v>253</v>
      </c>
      <c r="AZ123" s="79" t="s">
        <v>256</v>
      </c>
      <c r="BA123" s="79" t="s">
        <v>256</v>
      </c>
      <c r="BB123" s="79" t="s">
        <v>256</v>
      </c>
      <c r="BC123" s="79" t="s">
        <v>256</v>
      </c>
      <c r="BD123" s="79" t="s">
        <v>256</v>
      </c>
      <c r="BE123" s="79" t="s">
        <v>256</v>
      </c>
      <c r="BF123" s="79" t="s">
        <v>256</v>
      </c>
      <c r="BG123" s="79" t="s">
        <v>256</v>
      </c>
      <c r="BH123" s="79" t="s">
        <v>256</v>
      </c>
      <c r="BI123" s="79" t="s">
        <v>256</v>
      </c>
      <c r="BJ123" s="79"/>
      <c r="BK123" s="79"/>
      <c r="BL123" s="79"/>
      <c r="BM123" s="79"/>
      <c r="BN123" s="79"/>
      <c r="BO123" s="79"/>
      <c r="BP123" s="79"/>
      <c r="BQ123" s="79"/>
      <c r="BR123" s="79" t="s">
        <v>265</v>
      </c>
      <c r="BS123" s="79" t="s">
        <v>265</v>
      </c>
      <c r="BT123" s="79" t="s">
        <v>265</v>
      </c>
    </row>
    <row r="124" spans="2:72" x14ac:dyDescent="0.3">
      <c r="B124" s="79">
        <f t="shared" si="4"/>
        <v>282</v>
      </c>
      <c r="C124" s="79" t="s">
        <v>244</v>
      </c>
      <c r="D124" s="79" t="s">
        <v>244</v>
      </c>
      <c r="E124" s="79" t="s">
        <v>244</v>
      </c>
      <c r="F124" s="79" t="s">
        <v>244</v>
      </c>
      <c r="G124" s="79" t="s">
        <v>244</v>
      </c>
      <c r="H124" s="79" t="s">
        <v>244</v>
      </c>
      <c r="I124" s="79" t="s">
        <v>244</v>
      </c>
      <c r="J124" s="79" t="s">
        <v>244</v>
      </c>
      <c r="K124" s="79" t="s">
        <v>244</v>
      </c>
      <c r="L124" s="79" t="s">
        <v>244</v>
      </c>
      <c r="M124" s="79" t="s">
        <v>244</v>
      </c>
      <c r="N124" s="79" t="s">
        <v>244</v>
      </c>
      <c r="O124" s="79" t="s">
        <v>243</v>
      </c>
      <c r="P124" s="79" t="s">
        <v>243</v>
      </c>
      <c r="Q124" s="79" t="s">
        <v>243</v>
      </c>
      <c r="R124" s="79" t="s">
        <v>243</v>
      </c>
      <c r="S124" s="79" t="s">
        <v>243</v>
      </c>
      <c r="T124" s="79" t="s">
        <v>243</v>
      </c>
      <c r="U124" s="79" t="s">
        <v>243</v>
      </c>
      <c r="V124" s="79" t="s">
        <v>243</v>
      </c>
      <c r="W124" s="79" t="s">
        <v>243</v>
      </c>
      <c r="X124" s="79" t="s">
        <v>249</v>
      </c>
      <c r="Y124" s="79" t="s">
        <v>249</v>
      </c>
      <c r="Z124" s="79" t="s">
        <v>249</v>
      </c>
      <c r="AA124" s="79" t="s">
        <v>249</v>
      </c>
      <c r="AB124" s="79" t="s">
        <v>249</v>
      </c>
      <c r="AC124" s="79" t="s">
        <v>249</v>
      </c>
      <c r="AD124" s="79" t="s">
        <v>249</v>
      </c>
      <c r="AE124" s="79" t="s">
        <v>249</v>
      </c>
      <c r="AF124" s="79" t="s">
        <v>249</v>
      </c>
      <c r="AG124" s="79" t="s">
        <v>249</v>
      </c>
      <c r="AH124" s="79" t="s">
        <v>250</v>
      </c>
      <c r="AI124" s="79" t="s">
        <v>250</v>
      </c>
      <c r="AJ124" s="79" t="s">
        <v>250</v>
      </c>
      <c r="AK124" s="79" t="s">
        <v>250</v>
      </c>
      <c r="AL124" s="79" t="s">
        <v>250</v>
      </c>
      <c r="AM124" s="79" t="s">
        <v>250</v>
      </c>
      <c r="AN124" s="79" t="s">
        <v>250</v>
      </c>
      <c r="AO124" s="79" t="s">
        <v>250</v>
      </c>
      <c r="AP124" s="79" t="s">
        <v>250</v>
      </c>
      <c r="AQ124" s="79" t="s">
        <v>250</v>
      </c>
      <c r="AR124" s="79" t="s">
        <v>253</v>
      </c>
      <c r="AS124" s="79" t="s">
        <v>253</v>
      </c>
      <c r="AT124" s="79" t="s">
        <v>253</v>
      </c>
      <c r="AU124" s="79" t="s">
        <v>253</v>
      </c>
      <c r="AV124" s="79" t="s">
        <v>253</v>
      </c>
      <c r="AW124" s="79" t="s">
        <v>253</v>
      </c>
      <c r="AX124" s="79" t="s">
        <v>253</v>
      </c>
      <c r="AY124" s="79" t="s">
        <v>253</v>
      </c>
      <c r="AZ124" s="79" t="s">
        <v>253</v>
      </c>
      <c r="BA124" s="79" t="s">
        <v>256</v>
      </c>
      <c r="BB124" s="79" t="s">
        <v>256</v>
      </c>
      <c r="BC124" s="79" t="s">
        <v>256</v>
      </c>
      <c r="BD124" s="79" t="s">
        <v>256</v>
      </c>
      <c r="BE124" s="79" t="s">
        <v>256</v>
      </c>
      <c r="BF124" s="79" t="s">
        <v>256</v>
      </c>
      <c r="BG124" s="79" t="s">
        <v>256</v>
      </c>
      <c r="BH124" s="79" t="s">
        <v>256</v>
      </c>
      <c r="BI124" s="79" t="s">
        <v>256</v>
      </c>
      <c r="BJ124" s="79" t="s">
        <v>256</v>
      </c>
      <c r="BK124" s="79"/>
      <c r="BL124" s="79"/>
      <c r="BM124" s="79"/>
      <c r="BN124" s="79"/>
      <c r="BO124" s="79"/>
      <c r="BP124" s="79"/>
      <c r="BQ124" s="79"/>
      <c r="BR124" s="79"/>
      <c r="BS124" s="79" t="s">
        <v>265</v>
      </c>
      <c r="BT124" s="79" t="s">
        <v>265</v>
      </c>
    </row>
    <row r="125" spans="2:72" x14ac:dyDescent="0.3">
      <c r="B125" s="79">
        <f t="shared" si="4"/>
        <v>284</v>
      </c>
      <c r="C125" s="79" t="s">
        <v>244</v>
      </c>
      <c r="D125" s="79" t="s">
        <v>244</v>
      </c>
      <c r="E125" s="79" t="s">
        <v>244</v>
      </c>
      <c r="F125" s="79" t="s">
        <v>244</v>
      </c>
      <c r="G125" s="79" t="s">
        <v>244</v>
      </c>
      <c r="H125" s="79" t="s">
        <v>244</v>
      </c>
      <c r="I125" s="79" t="s">
        <v>244</v>
      </c>
      <c r="J125" s="79" t="s">
        <v>244</v>
      </c>
      <c r="K125" s="79" t="s">
        <v>244</v>
      </c>
      <c r="L125" s="79" t="s">
        <v>244</v>
      </c>
      <c r="M125" s="79" t="s">
        <v>244</v>
      </c>
      <c r="N125" s="79" t="s">
        <v>244</v>
      </c>
      <c r="O125" s="79" t="s">
        <v>243</v>
      </c>
      <c r="P125" s="79" t="s">
        <v>243</v>
      </c>
      <c r="Q125" s="79" t="s">
        <v>243</v>
      </c>
      <c r="R125" s="79" t="s">
        <v>243</v>
      </c>
      <c r="S125" s="79" t="s">
        <v>243</v>
      </c>
      <c r="T125" s="79" t="s">
        <v>243</v>
      </c>
      <c r="U125" s="79" t="s">
        <v>243</v>
      </c>
      <c r="V125" s="79" t="s">
        <v>243</v>
      </c>
      <c r="W125" s="79" t="s">
        <v>243</v>
      </c>
      <c r="X125" s="79" t="s">
        <v>243</v>
      </c>
      <c r="Y125" s="79" t="s">
        <v>249</v>
      </c>
      <c r="Z125" s="79" t="s">
        <v>249</v>
      </c>
      <c r="AA125" s="79" t="s">
        <v>249</v>
      </c>
      <c r="AB125" s="79" t="s">
        <v>249</v>
      </c>
      <c r="AC125" s="79" t="s">
        <v>249</v>
      </c>
      <c r="AD125" s="79" t="s">
        <v>249</v>
      </c>
      <c r="AE125" s="79" t="s">
        <v>249</v>
      </c>
      <c r="AF125" s="79" t="s">
        <v>249</v>
      </c>
      <c r="AG125" s="79" t="s">
        <v>249</v>
      </c>
      <c r="AH125" s="79" t="s">
        <v>250</v>
      </c>
      <c r="AI125" s="79" t="s">
        <v>250</v>
      </c>
      <c r="AJ125" s="79" t="s">
        <v>250</v>
      </c>
      <c r="AK125" s="79" t="s">
        <v>250</v>
      </c>
      <c r="AL125" s="79" t="s">
        <v>250</v>
      </c>
      <c r="AM125" s="79" t="s">
        <v>250</v>
      </c>
      <c r="AN125" s="79" t="s">
        <v>250</v>
      </c>
      <c r="AO125" s="79" t="s">
        <v>250</v>
      </c>
      <c r="AP125" s="79" t="s">
        <v>250</v>
      </c>
      <c r="AQ125" s="79" t="s">
        <v>250</v>
      </c>
      <c r="AR125" s="79" t="s">
        <v>253</v>
      </c>
      <c r="AS125" s="79" t="s">
        <v>253</v>
      </c>
      <c r="AT125" s="79" t="s">
        <v>253</v>
      </c>
      <c r="AU125" s="79" t="s">
        <v>253</v>
      </c>
      <c r="AV125" s="79" t="s">
        <v>253</v>
      </c>
      <c r="AW125" s="79" t="s">
        <v>253</v>
      </c>
      <c r="AX125" s="79" t="s">
        <v>253</v>
      </c>
      <c r="AY125" s="79" t="s">
        <v>253</v>
      </c>
      <c r="AZ125" s="79" t="s">
        <v>253</v>
      </c>
      <c r="BA125" s="79" t="s">
        <v>253</v>
      </c>
      <c r="BB125" s="79" t="s">
        <v>256</v>
      </c>
      <c r="BC125" s="79" t="s">
        <v>256</v>
      </c>
      <c r="BD125" s="79" t="s">
        <v>256</v>
      </c>
      <c r="BE125" s="79" t="s">
        <v>256</v>
      </c>
      <c r="BF125" s="79" t="s">
        <v>256</v>
      </c>
      <c r="BG125" s="79" t="s">
        <v>256</v>
      </c>
      <c r="BH125" s="79" t="s">
        <v>256</v>
      </c>
      <c r="BI125" s="79" t="s">
        <v>256</v>
      </c>
      <c r="BJ125" s="79" t="s">
        <v>256</v>
      </c>
      <c r="BK125" s="79" t="s">
        <v>256</v>
      </c>
      <c r="BL125" s="79"/>
      <c r="BM125" s="79"/>
      <c r="BN125" s="79"/>
      <c r="BO125" s="79"/>
      <c r="BP125" s="79"/>
      <c r="BQ125" s="79"/>
      <c r="BR125" s="79"/>
      <c r="BS125" s="79"/>
      <c r="BT125" s="79" t="s">
        <v>265</v>
      </c>
    </row>
    <row r="126" spans="2:72" x14ac:dyDescent="0.3">
      <c r="B126" s="79">
        <f t="shared" si="4"/>
        <v>286</v>
      </c>
      <c r="C126" s="79" t="s">
        <v>245</v>
      </c>
      <c r="D126" s="79" t="s">
        <v>244</v>
      </c>
      <c r="E126" s="79" t="s">
        <v>244</v>
      </c>
      <c r="F126" s="79" t="s">
        <v>244</v>
      </c>
      <c r="G126" s="79" t="s">
        <v>244</v>
      </c>
      <c r="H126" s="79" t="s">
        <v>244</v>
      </c>
      <c r="I126" s="79" t="s">
        <v>244</v>
      </c>
      <c r="J126" s="79" t="s">
        <v>244</v>
      </c>
      <c r="K126" s="79" t="s">
        <v>244</v>
      </c>
      <c r="L126" s="79" t="s">
        <v>244</v>
      </c>
      <c r="M126" s="79" t="s">
        <v>244</v>
      </c>
      <c r="N126" s="79" t="s">
        <v>244</v>
      </c>
      <c r="O126" s="79" t="s">
        <v>243</v>
      </c>
      <c r="P126" s="79" t="s">
        <v>243</v>
      </c>
      <c r="Q126" s="79" t="s">
        <v>243</v>
      </c>
      <c r="R126" s="79" t="s">
        <v>243</v>
      </c>
      <c r="S126" s="79" t="s">
        <v>243</v>
      </c>
      <c r="T126" s="79" t="s">
        <v>243</v>
      </c>
      <c r="U126" s="79" t="s">
        <v>243</v>
      </c>
      <c r="V126" s="79" t="s">
        <v>243</v>
      </c>
      <c r="W126" s="79" t="s">
        <v>243</v>
      </c>
      <c r="X126" s="79" t="s">
        <v>249</v>
      </c>
      <c r="Y126" s="79" t="s">
        <v>249</v>
      </c>
      <c r="Z126" s="79" t="s">
        <v>249</v>
      </c>
      <c r="AA126" s="79" t="s">
        <v>249</v>
      </c>
      <c r="AB126" s="79" t="s">
        <v>249</v>
      </c>
      <c r="AC126" s="79" t="s">
        <v>249</v>
      </c>
      <c r="AD126" s="79" t="s">
        <v>249</v>
      </c>
      <c r="AE126" s="79" t="s">
        <v>249</v>
      </c>
      <c r="AF126" s="79" t="s">
        <v>249</v>
      </c>
      <c r="AG126" s="79" t="s">
        <v>249</v>
      </c>
      <c r="AH126" s="79" t="s">
        <v>250</v>
      </c>
      <c r="AI126" s="79" t="s">
        <v>250</v>
      </c>
      <c r="AJ126" s="79" t="s">
        <v>250</v>
      </c>
      <c r="AK126" s="79" t="s">
        <v>250</v>
      </c>
      <c r="AL126" s="79" t="s">
        <v>250</v>
      </c>
      <c r="AM126" s="79" t="s">
        <v>250</v>
      </c>
      <c r="AN126" s="79" t="s">
        <v>250</v>
      </c>
      <c r="AO126" s="79" t="s">
        <v>250</v>
      </c>
      <c r="AP126" s="79" t="s">
        <v>250</v>
      </c>
      <c r="AQ126" s="79" t="s">
        <v>250</v>
      </c>
      <c r="AR126" s="79" t="s">
        <v>253</v>
      </c>
      <c r="AS126" s="79" t="s">
        <v>253</v>
      </c>
      <c r="AT126" s="79" t="s">
        <v>253</v>
      </c>
      <c r="AU126" s="79" t="s">
        <v>253</v>
      </c>
      <c r="AV126" s="79" t="s">
        <v>253</v>
      </c>
      <c r="AW126" s="79" t="s">
        <v>253</v>
      </c>
      <c r="AX126" s="79" t="s">
        <v>253</v>
      </c>
      <c r="AY126" s="79" t="s">
        <v>253</v>
      </c>
      <c r="AZ126" s="79" t="s">
        <v>253</v>
      </c>
      <c r="BA126" s="79" t="s">
        <v>267</v>
      </c>
      <c r="BB126" s="79" t="s">
        <v>256</v>
      </c>
      <c r="BC126" s="79" t="s">
        <v>256</v>
      </c>
      <c r="BD126" s="79" t="s">
        <v>256</v>
      </c>
      <c r="BE126" s="79" t="s">
        <v>256</v>
      </c>
      <c r="BF126" s="79" t="s">
        <v>256</v>
      </c>
      <c r="BG126" s="79" t="s">
        <v>256</v>
      </c>
      <c r="BH126" s="79" t="s">
        <v>256</v>
      </c>
      <c r="BI126" s="79" t="s">
        <v>256</v>
      </c>
      <c r="BJ126" s="79" t="s">
        <v>256</v>
      </c>
      <c r="BK126" s="79" t="s">
        <v>256</v>
      </c>
      <c r="BL126" s="79" t="s">
        <v>256</v>
      </c>
      <c r="BM126" s="79"/>
      <c r="BN126" s="79"/>
      <c r="BO126" s="79"/>
      <c r="BP126" s="79"/>
      <c r="BQ126" s="79"/>
      <c r="BR126" s="79"/>
      <c r="BS126" s="79"/>
      <c r="BT126" s="79"/>
    </row>
    <row r="127" spans="2:72" x14ac:dyDescent="0.3">
      <c r="B127" s="79">
        <f t="shared" si="4"/>
        <v>288</v>
      </c>
      <c r="C127" s="79" t="s">
        <v>245</v>
      </c>
      <c r="D127" s="79" t="s">
        <v>245</v>
      </c>
      <c r="E127" s="79" t="s">
        <v>244</v>
      </c>
      <c r="F127" s="79" t="s">
        <v>244</v>
      </c>
      <c r="G127" s="79" t="s">
        <v>244</v>
      </c>
      <c r="H127" s="79" t="s">
        <v>244</v>
      </c>
      <c r="I127" s="79" t="s">
        <v>244</v>
      </c>
      <c r="J127" s="79" t="s">
        <v>244</v>
      </c>
      <c r="K127" s="79" t="s">
        <v>244</v>
      </c>
      <c r="L127" s="79" t="s">
        <v>244</v>
      </c>
      <c r="M127" s="79" t="s">
        <v>244</v>
      </c>
      <c r="N127" s="79" t="s">
        <v>244</v>
      </c>
      <c r="O127" s="79" t="s">
        <v>243</v>
      </c>
      <c r="P127" s="79" t="s">
        <v>243</v>
      </c>
      <c r="Q127" s="79" t="s">
        <v>243</v>
      </c>
      <c r="R127" s="79" t="s">
        <v>243</v>
      </c>
      <c r="S127" s="79" t="s">
        <v>243</v>
      </c>
      <c r="T127" s="79" t="s">
        <v>243</v>
      </c>
      <c r="U127" s="79" t="s">
        <v>243</v>
      </c>
      <c r="V127" s="79" t="s">
        <v>243</v>
      </c>
      <c r="W127" s="79" t="s">
        <v>243</v>
      </c>
      <c r="X127" s="79" t="s">
        <v>254</v>
      </c>
      <c r="Y127" s="79" t="s">
        <v>249</v>
      </c>
      <c r="Z127" s="79" t="s">
        <v>249</v>
      </c>
      <c r="AA127" s="79" t="s">
        <v>249</v>
      </c>
      <c r="AB127" s="79" t="s">
        <v>249</v>
      </c>
      <c r="AC127" s="79" t="s">
        <v>249</v>
      </c>
      <c r="AD127" s="79" t="s">
        <v>249</v>
      </c>
      <c r="AE127" s="79" t="s">
        <v>249</v>
      </c>
      <c r="AF127" s="79" t="s">
        <v>249</v>
      </c>
      <c r="AG127" s="79" t="s">
        <v>249</v>
      </c>
      <c r="AH127" s="79" t="s">
        <v>259</v>
      </c>
      <c r="AI127" s="79" t="s">
        <v>250</v>
      </c>
      <c r="AJ127" s="79" t="s">
        <v>250</v>
      </c>
      <c r="AK127" s="79" t="s">
        <v>250</v>
      </c>
      <c r="AL127" s="79" t="s">
        <v>250</v>
      </c>
      <c r="AM127" s="79" t="s">
        <v>250</v>
      </c>
      <c r="AN127" s="79" t="s">
        <v>250</v>
      </c>
      <c r="AO127" s="79" t="s">
        <v>250</v>
      </c>
      <c r="AP127" s="79" t="s">
        <v>250</v>
      </c>
      <c r="AQ127" s="79" t="s">
        <v>250</v>
      </c>
      <c r="AR127" s="79" t="s">
        <v>262</v>
      </c>
      <c r="AS127" s="79" t="s">
        <v>253</v>
      </c>
      <c r="AT127" s="79" t="s">
        <v>253</v>
      </c>
      <c r="AU127" s="79" t="s">
        <v>253</v>
      </c>
      <c r="AV127" s="79" t="s">
        <v>253</v>
      </c>
      <c r="AW127" s="79" t="s">
        <v>253</v>
      </c>
      <c r="AX127" s="79" t="s">
        <v>253</v>
      </c>
      <c r="AY127" s="79" t="s">
        <v>253</v>
      </c>
      <c r="AZ127" s="79" t="s">
        <v>253</v>
      </c>
      <c r="BA127" s="79" t="s">
        <v>267</v>
      </c>
      <c r="BB127" s="79" t="s">
        <v>267</v>
      </c>
      <c r="BC127" s="79" t="s">
        <v>256</v>
      </c>
      <c r="BD127" s="79" t="s">
        <v>256</v>
      </c>
      <c r="BE127" s="79" t="s">
        <v>256</v>
      </c>
      <c r="BF127" s="79" t="s">
        <v>256</v>
      </c>
      <c r="BG127" s="79" t="s">
        <v>256</v>
      </c>
      <c r="BH127" s="79" t="s">
        <v>256</v>
      </c>
      <c r="BI127" s="79" t="s">
        <v>256</v>
      </c>
      <c r="BJ127" s="79" t="s">
        <v>256</v>
      </c>
      <c r="BK127" s="79" t="s">
        <v>256</v>
      </c>
      <c r="BL127" s="79" t="s">
        <v>256</v>
      </c>
      <c r="BM127" s="79" t="s">
        <v>256</v>
      </c>
      <c r="BN127" s="79"/>
      <c r="BO127" s="79"/>
      <c r="BP127" s="79"/>
      <c r="BQ127" s="79"/>
      <c r="BR127" s="79"/>
      <c r="BS127" s="79"/>
      <c r="BT127" s="79"/>
    </row>
    <row r="128" spans="2:72" x14ac:dyDescent="0.3">
      <c r="B128" s="79">
        <f t="shared" si="4"/>
        <v>290</v>
      </c>
      <c r="C128" s="79"/>
      <c r="D128" s="79" t="s">
        <v>245</v>
      </c>
      <c r="E128" s="79" t="s">
        <v>244</v>
      </c>
      <c r="F128" s="79" t="s">
        <v>244</v>
      </c>
      <c r="G128" s="79" t="s">
        <v>244</v>
      </c>
      <c r="H128" s="79" t="s">
        <v>244</v>
      </c>
      <c r="I128" s="79" t="s">
        <v>244</v>
      </c>
      <c r="J128" s="79" t="s">
        <v>244</v>
      </c>
      <c r="K128" s="79" t="s">
        <v>244</v>
      </c>
      <c r="L128" s="79" t="s">
        <v>244</v>
      </c>
      <c r="M128" s="79" t="s">
        <v>244</v>
      </c>
      <c r="N128" s="79" t="s">
        <v>244</v>
      </c>
      <c r="O128" s="79" t="s">
        <v>245</v>
      </c>
      <c r="P128" s="79" t="s">
        <v>243</v>
      </c>
      <c r="Q128" s="79" t="s">
        <v>243</v>
      </c>
      <c r="R128" s="79" t="s">
        <v>243</v>
      </c>
      <c r="S128" s="79" t="s">
        <v>243</v>
      </c>
      <c r="T128" s="79" t="s">
        <v>243</v>
      </c>
      <c r="U128" s="79" t="s">
        <v>243</v>
      </c>
      <c r="V128" s="79" t="s">
        <v>243</v>
      </c>
      <c r="W128" s="79" t="s">
        <v>243</v>
      </c>
      <c r="X128" s="79" t="s">
        <v>254</v>
      </c>
      <c r="Y128" s="79" t="s">
        <v>254</v>
      </c>
      <c r="Z128" s="79" t="s">
        <v>249</v>
      </c>
      <c r="AA128" s="79" t="s">
        <v>249</v>
      </c>
      <c r="AB128" s="79" t="s">
        <v>249</v>
      </c>
      <c r="AC128" s="79" t="s">
        <v>249</v>
      </c>
      <c r="AD128" s="79" t="s">
        <v>249</v>
      </c>
      <c r="AE128" s="79" t="s">
        <v>249</v>
      </c>
      <c r="AF128" s="79" t="s">
        <v>249</v>
      </c>
      <c r="AG128" s="79" t="s">
        <v>249</v>
      </c>
      <c r="AH128" s="79" t="s">
        <v>259</v>
      </c>
      <c r="AI128" s="79" t="s">
        <v>259</v>
      </c>
      <c r="AJ128" s="79" t="s">
        <v>250</v>
      </c>
      <c r="AK128" s="79" t="s">
        <v>250</v>
      </c>
      <c r="AL128" s="79" t="s">
        <v>250</v>
      </c>
      <c r="AM128" s="79" t="s">
        <v>250</v>
      </c>
      <c r="AN128" s="79" t="s">
        <v>250</v>
      </c>
      <c r="AO128" s="79" t="s">
        <v>250</v>
      </c>
      <c r="AP128" s="79" t="s">
        <v>250</v>
      </c>
      <c r="AQ128" s="79" t="s">
        <v>250</v>
      </c>
      <c r="AR128" s="79" t="s">
        <v>262</v>
      </c>
      <c r="AS128" s="79" t="s">
        <v>262</v>
      </c>
      <c r="AT128" s="79" t="s">
        <v>253</v>
      </c>
      <c r="AU128" s="79" t="s">
        <v>253</v>
      </c>
      <c r="AV128" s="79" t="s">
        <v>253</v>
      </c>
      <c r="AW128" s="79" t="s">
        <v>253</v>
      </c>
      <c r="AX128" s="79" t="s">
        <v>253</v>
      </c>
      <c r="AY128" s="79" t="s">
        <v>253</v>
      </c>
      <c r="AZ128" s="79" t="s">
        <v>253</v>
      </c>
      <c r="BA128" s="79" t="s">
        <v>267</v>
      </c>
      <c r="BB128" s="79" t="s">
        <v>267</v>
      </c>
      <c r="BC128" s="79" t="s">
        <v>267</v>
      </c>
      <c r="BD128" s="79" t="s">
        <v>256</v>
      </c>
      <c r="BE128" s="79" t="s">
        <v>256</v>
      </c>
      <c r="BF128" s="79" t="s">
        <v>256</v>
      </c>
      <c r="BG128" s="79" t="s">
        <v>256</v>
      </c>
      <c r="BH128" s="79" t="s">
        <v>256</v>
      </c>
      <c r="BI128" s="79" t="s">
        <v>256</v>
      </c>
      <c r="BJ128" s="79" t="s">
        <v>256</v>
      </c>
      <c r="BK128" s="79" t="s">
        <v>256</v>
      </c>
      <c r="BL128" s="79" t="s">
        <v>256</v>
      </c>
      <c r="BM128" s="79" t="s">
        <v>256</v>
      </c>
      <c r="BN128" s="79" t="s">
        <v>256</v>
      </c>
      <c r="BO128" s="79"/>
      <c r="BP128" s="79"/>
      <c r="BQ128" s="79"/>
      <c r="BR128" s="79"/>
      <c r="BS128" s="79"/>
      <c r="BT128" s="79"/>
    </row>
    <row r="129" spans="2:72" x14ac:dyDescent="0.3">
      <c r="B129" s="79">
        <f t="shared" si="4"/>
        <v>292</v>
      </c>
      <c r="C129" s="79"/>
      <c r="D129" s="79"/>
      <c r="E129" s="79" t="s">
        <v>245</v>
      </c>
      <c r="F129" s="79" t="s">
        <v>244</v>
      </c>
      <c r="G129" s="79" t="s">
        <v>244</v>
      </c>
      <c r="H129" s="79" t="s">
        <v>244</v>
      </c>
      <c r="I129" s="79" t="s">
        <v>244</v>
      </c>
      <c r="J129" s="79" t="s">
        <v>244</v>
      </c>
      <c r="K129" s="79" t="s">
        <v>244</v>
      </c>
      <c r="L129" s="79" t="s">
        <v>244</v>
      </c>
      <c r="M129" s="79" t="s">
        <v>244</v>
      </c>
      <c r="N129" s="79" t="s">
        <v>244</v>
      </c>
      <c r="O129" s="79" t="s">
        <v>245</v>
      </c>
      <c r="P129" s="79" t="s">
        <v>243</v>
      </c>
      <c r="Q129" s="79" t="s">
        <v>243</v>
      </c>
      <c r="R129" s="79" t="s">
        <v>243</v>
      </c>
      <c r="S129" s="79" t="s">
        <v>243</v>
      </c>
      <c r="T129" s="79" t="s">
        <v>243</v>
      </c>
      <c r="U129" s="79" t="s">
        <v>243</v>
      </c>
      <c r="V129" s="79" t="s">
        <v>243</v>
      </c>
      <c r="W129" s="79" t="s">
        <v>243</v>
      </c>
      <c r="X129" s="79" t="s">
        <v>254</v>
      </c>
      <c r="Y129" s="79" t="s">
        <v>254</v>
      </c>
      <c r="Z129" s="79" t="s">
        <v>249</v>
      </c>
      <c r="AA129" s="79" t="s">
        <v>249</v>
      </c>
      <c r="AB129" s="79" t="s">
        <v>249</v>
      </c>
      <c r="AC129" s="79" t="s">
        <v>249</v>
      </c>
      <c r="AD129" s="79" t="s">
        <v>249</v>
      </c>
      <c r="AE129" s="79" t="s">
        <v>249</v>
      </c>
      <c r="AF129" s="79" t="s">
        <v>249</v>
      </c>
      <c r="AG129" s="79" t="s">
        <v>249</v>
      </c>
      <c r="AH129" s="79" t="s">
        <v>259</v>
      </c>
      <c r="AI129" s="79" t="s">
        <v>259</v>
      </c>
      <c r="AJ129" s="79" t="s">
        <v>259</v>
      </c>
      <c r="AK129" s="79" t="s">
        <v>250</v>
      </c>
      <c r="AL129" s="79" t="s">
        <v>250</v>
      </c>
      <c r="AM129" s="79" t="s">
        <v>250</v>
      </c>
      <c r="AN129" s="79" t="s">
        <v>250</v>
      </c>
      <c r="AO129" s="79" t="s">
        <v>250</v>
      </c>
      <c r="AP129" s="79" t="s">
        <v>250</v>
      </c>
      <c r="AQ129" s="79" t="s">
        <v>250</v>
      </c>
      <c r="AR129" s="79" t="s">
        <v>262</v>
      </c>
      <c r="AS129" s="79" t="s">
        <v>262</v>
      </c>
      <c r="AT129" s="79" t="s">
        <v>262</v>
      </c>
      <c r="AU129" s="79" t="s">
        <v>253</v>
      </c>
      <c r="AV129" s="79" t="s">
        <v>253</v>
      </c>
      <c r="AW129" s="79" t="s">
        <v>253</v>
      </c>
      <c r="AX129" s="79" t="s">
        <v>253</v>
      </c>
      <c r="AY129" s="79" t="s">
        <v>253</v>
      </c>
      <c r="AZ129" s="79" t="s">
        <v>253</v>
      </c>
      <c r="BA129" s="79" t="s">
        <v>267</v>
      </c>
      <c r="BB129" s="79" t="s">
        <v>267</v>
      </c>
      <c r="BC129" s="79" t="s">
        <v>267</v>
      </c>
      <c r="BD129" s="79" t="s">
        <v>267</v>
      </c>
      <c r="BE129" s="79" t="s">
        <v>256</v>
      </c>
      <c r="BF129" s="79" t="s">
        <v>256</v>
      </c>
      <c r="BG129" s="79" t="s">
        <v>256</v>
      </c>
      <c r="BH129" s="79" t="s">
        <v>256</v>
      </c>
      <c r="BI129" s="79" t="s">
        <v>256</v>
      </c>
      <c r="BJ129" s="79" t="s">
        <v>256</v>
      </c>
      <c r="BK129" s="79" t="s">
        <v>256</v>
      </c>
      <c r="BL129" s="79" t="s">
        <v>256</v>
      </c>
      <c r="BM129" s="79" t="s">
        <v>256</v>
      </c>
      <c r="BN129" s="79" t="s">
        <v>256</v>
      </c>
      <c r="BO129" s="79" t="s">
        <v>256</v>
      </c>
      <c r="BP129" s="79"/>
      <c r="BQ129" s="79"/>
      <c r="BR129" s="79"/>
      <c r="BS129" s="79"/>
      <c r="BT129" s="79"/>
    </row>
    <row r="130" spans="2:72" x14ac:dyDescent="0.3">
      <c r="B130" s="79">
        <f t="shared" si="4"/>
        <v>294</v>
      </c>
      <c r="C130" s="79"/>
      <c r="D130" s="79"/>
      <c r="E130" s="79" t="s">
        <v>245</v>
      </c>
      <c r="F130" s="79" t="s">
        <v>245</v>
      </c>
      <c r="G130" s="79" t="s">
        <v>244</v>
      </c>
      <c r="H130" s="79" t="s">
        <v>244</v>
      </c>
      <c r="I130" s="79" t="s">
        <v>244</v>
      </c>
      <c r="J130" s="79" t="s">
        <v>244</v>
      </c>
      <c r="K130" s="79" t="s">
        <v>244</v>
      </c>
      <c r="L130" s="79" t="s">
        <v>244</v>
      </c>
      <c r="M130" s="79" t="s">
        <v>244</v>
      </c>
      <c r="N130" s="79" t="s">
        <v>245</v>
      </c>
      <c r="O130" s="79" t="s">
        <v>245</v>
      </c>
      <c r="P130" s="79" t="s">
        <v>245</v>
      </c>
      <c r="Q130" s="79" t="s">
        <v>243</v>
      </c>
      <c r="R130" s="79" t="s">
        <v>243</v>
      </c>
      <c r="S130" s="79" t="s">
        <v>243</v>
      </c>
      <c r="T130" s="79" t="s">
        <v>243</v>
      </c>
      <c r="U130" s="79" t="s">
        <v>243</v>
      </c>
      <c r="V130" s="79" t="s">
        <v>243</v>
      </c>
      <c r="W130" s="79" t="s">
        <v>243</v>
      </c>
      <c r="X130" s="79" t="s">
        <v>255</v>
      </c>
      <c r="Y130" s="79" t="s">
        <v>254</v>
      </c>
      <c r="Z130" s="79" t="s">
        <v>254</v>
      </c>
      <c r="AA130" s="79" t="s">
        <v>249</v>
      </c>
      <c r="AB130" s="79" t="s">
        <v>249</v>
      </c>
      <c r="AC130" s="79" t="s">
        <v>249</v>
      </c>
      <c r="AD130" s="79" t="s">
        <v>249</v>
      </c>
      <c r="AE130" s="79" t="s">
        <v>249</v>
      </c>
      <c r="AF130" s="79" t="s">
        <v>249</v>
      </c>
      <c r="AG130" s="79" t="s">
        <v>249</v>
      </c>
      <c r="AH130" s="79" t="s">
        <v>259</v>
      </c>
      <c r="AI130" s="79" t="s">
        <v>259</v>
      </c>
      <c r="AJ130" s="79" t="s">
        <v>259</v>
      </c>
      <c r="AK130" s="79" t="s">
        <v>250</v>
      </c>
      <c r="AL130" s="79" t="s">
        <v>250</v>
      </c>
      <c r="AM130" s="79" t="s">
        <v>250</v>
      </c>
      <c r="AN130" s="79" t="s">
        <v>250</v>
      </c>
      <c r="AO130" s="79" t="s">
        <v>250</v>
      </c>
      <c r="AP130" s="79" t="s">
        <v>250</v>
      </c>
      <c r="AQ130" s="79" t="s">
        <v>262</v>
      </c>
      <c r="AR130" s="79" t="s">
        <v>262</v>
      </c>
      <c r="AS130" s="79" t="s">
        <v>262</v>
      </c>
      <c r="AT130" s="79" t="s">
        <v>262</v>
      </c>
      <c r="AU130" s="79" t="s">
        <v>262</v>
      </c>
      <c r="AV130" s="79" t="s">
        <v>253</v>
      </c>
      <c r="AW130" s="79" t="s">
        <v>253</v>
      </c>
      <c r="AX130" s="79" t="s">
        <v>253</v>
      </c>
      <c r="AY130" s="79" t="s">
        <v>253</v>
      </c>
      <c r="AZ130" s="79" t="s">
        <v>253</v>
      </c>
      <c r="BA130" s="79" t="s">
        <v>267</v>
      </c>
      <c r="BB130" s="79" t="s">
        <v>267</v>
      </c>
      <c r="BC130" s="79" t="s">
        <v>267</v>
      </c>
      <c r="BD130" s="79" t="s">
        <v>267</v>
      </c>
      <c r="BE130" s="79" t="s">
        <v>267</v>
      </c>
      <c r="BF130" s="79" t="s">
        <v>256</v>
      </c>
      <c r="BG130" s="79" t="s">
        <v>256</v>
      </c>
      <c r="BH130" s="79" t="s">
        <v>256</v>
      </c>
      <c r="BI130" s="79" t="s">
        <v>256</v>
      </c>
      <c r="BJ130" s="79" t="s">
        <v>256</v>
      </c>
      <c r="BK130" s="79" t="s">
        <v>256</v>
      </c>
      <c r="BL130" s="79" t="s">
        <v>256</v>
      </c>
      <c r="BM130" s="79" t="s">
        <v>256</v>
      </c>
      <c r="BN130" s="79" t="s">
        <v>256</v>
      </c>
      <c r="BO130" s="79" t="s">
        <v>256</v>
      </c>
      <c r="BP130" s="79" t="s">
        <v>256</v>
      </c>
      <c r="BQ130" s="79"/>
      <c r="BR130" s="79"/>
      <c r="BS130" s="79"/>
      <c r="BT130" s="79"/>
    </row>
    <row r="131" spans="2:72" x14ac:dyDescent="0.3">
      <c r="B131" s="79">
        <f t="shared" si="4"/>
        <v>296</v>
      </c>
      <c r="C131" s="79"/>
      <c r="D131" s="79"/>
      <c r="E131" s="79"/>
      <c r="F131" s="79" t="s">
        <v>245</v>
      </c>
      <c r="G131" s="79" t="s">
        <v>244</v>
      </c>
      <c r="H131" s="79" t="s">
        <v>244</v>
      </c>
      <c r="I131" s="79" t="s">
        <v>244</v>
      </c>
      <c r="J131" s="79" t="s">
        <v>244</v>
      </c>
      <c r="K131" s="79" t="s">
        <v>244</v>
      </c>
      <c r="L131" s="79" t="s">
        <v>244</v>
      </c>
      <c r="M131" s="79" t="s">
        <v>244</v>
      </c>
      <c r="N131" s="79" t="s">
        <v>245</v>
      </c>
      <c r="O131" s="79" t="s">
        <v>245</v>
      </c>
      <c r="P131" s="79" t="s">
        <v>245</v>
      </c>
      <c r="Q131" s="79" t="s">
        <v>245</v>
      </c>
      <c r="R131" s="79" t="s">
        <v>243</v>
      </c>
      <c r="S131" s="79" t="s">
        <v>243</v>
      </c>
      <c r="T131" s="79" t="s">
        <v>243</v>
      </c>
      <c r="U131" s="79" t="s">
        <v>243</v>
      </c>
      <c r="V131" s="79" t="s">
        <v>243</v>
      </c>
      <c r="W131" s="79" t="s">
        <v>243</v>
      </c>
      <c r="X131" s="79" t="s">
        <v>255</v>
      </c>
      <c r="Y131" s="79" t="s">
        <v>255</v>
      </c>
      <c r="Z131" s="79" t="s">
        <v>254</v>
      </c>
      <c r="AA131" s="79" t="s">
        <v>254</v>
      </c>
      <c r="AB131" s="79" t="s">
        <v>249</v>
      </c>
      <c r="AC131" s="79" t="s">
        <v>249</v>
      </c>
      <c r="AD131" s="79" t="s">
        <v>249</v>
      </c>
      <c r="AE131" s="79" t="s">
        <v>249</v>
      </c>
      <c r="AF131" s="79" t="s">
        <v>249</v>
      </c>
      <c r="AG131" s="79" t="s">
        <v>249</v>
      </c>
      <c r="AH131" s="79" t="s">
        <v>259</v>
      </c>
      <c r="AI131" s="79" t="s">
        <v>259</v>
      </c>
      <c r="AJ131" s="79" t="s">
        <v>259</v>
      </c>
      <c r="AK131" s="79" t="s">
        <v>259</v>
      </c>
      <c r="AL131" s="79" t="s">
        <v>250</v>
      </c>
      <c r="AM131" s="79" t="s">
        <v>250</v>
      </c>
      <c r="AN131" s="79" t="s">
        <v>250</v>
      </c>
      <c r="AO131" s="79" t="s">
        <v>250</v>
      </c>
      <c r="AP131" s="79" t="s">
        <v>250</v>
      </c>
      <c r="AQ131" s="79" t="s">
        <v>262</v>
      </c>
      <c r="AR131" s="79" t="s">
        <v>262</v>
      </c>
      <c r="AS131" s="79" t="s">
        <v>262</v>
      </c>
      <c r="AT131" s="79" t="s">
        <v>262</v>
      </c>
      <c r="AU131" s="79" t="s">
        <v>262</v>
      </c>
      <c r="AV131" s="79" t="s">
        <v>253</v>
      </c>
      <c r="AW131" s="79" t="s">
        <v>253</v>
      </c>
      <c r="AX131" s="79" t="s">
        <v>253</v>
      </c>
      <c r="AY131" s="79" t="s">
        <v>253</v>
      </c>
      <c r="AZ131" s="79" t="s">
        <v>253</v>
      </c>
      <c r="BA131" s="79" t="s">
        <v>267</v>
      </c>
      <c r="BB131" s="79" t="s">
        <v>267</v>
      </c>
      <c r="BC131" s="79" t="s">
        <v>267</v>
      </c>
      <c r="BD131" s="79" t="s">
        <v>267</v>
      </c>
      <c r="BE131" s="79" t="s">
        <v>267</v>
      </c>
      <c r="BF131" s="79" t="s">
        <v>267</v>
      </c>
      <c r="BG131" s="79" t="s">
        <v>256</v>
      </c>
      <c r="BH131" s="79" t="s">
        <v>256</v>
      </c>
      <c r="BI131" s="79" t="s">
        <v>256</v>
      </c>
      <c r="BJ131" s="79" t="s">
        <v>256</v>
      </c>
      <c r="BK131" s="79" t="s">
        <v>256</v>
      </c>
      <c r="BL131" s="79" t="s">
        <v>256</v>
      </c>
      <c r="BM131" s="79" t="s">
        <v>256</v>
      </c>
      <c r="BN131" s="79" t="s">
        <v>256</v>
      </c>
      <c r="BO131" s="79" t="s">
        <v>256</v>
      </c>
      <c r="BP131" s="79" t="s">
        <v>256</v>
      </c>
      <c r="BQ131" s="79" t="s">
        <v>256</v>
      </c>
      <c r="BR131" s="79"/>
      <c r="BS131" s="79"/>
      <c r="BT131" s="79"/>
    </row>
    <row r="132" spans="2:72" x14ac:dyDescent="0.3">
      <c r="B132" s="79">
        <f t="shared" si="4"/>
        <v>298</v>
      </c>
      <c r="C132" s="79"/>
      <c r="D132" s="79"/>
      <c r="E132" s="79"/>
      <c r="F132" s="79" t="s">
        <v>245</v>
      </c>
      <c r="G132" s="79" t="s">
        <v>245</v>
      </c>
      <c r="H132" s="79" t="s">
        <v>244</v>
      </c>
      <c r="I132" s="79" t="s">
        <v>244</v>
      </c>
      <c r="J132" s="79" t="s">
        <v>244</v>
      </c>
      <c r="K132" s="79" t="s">
        <v>244</v>
      </c>
      <c r="L132" s="79" t="s">
        <v>244</v>
      </c>
      <c r="M132" s="79" t="s">
        <v>244</v>
      </c>
      <c r="N132" s="79" t="s">
        <v>245</v>
      </c>
      <c r="O132" s="79" t="s">
        <v>245</v>
      </c>
      <c r="P132" s="79" t="s">
        <v>245</v>
      </c>
      <c r="Q132" s="79" t="s">
        <v>245</v>
      </c>
      <c r="R132" s="79" t="s">
        <v>243</v>
      </c>
      <c r="S132" s="79" t="s">
        <v>243</v>
      </c>
      <c r="T132" s="79" t="s">
        <v>243</v>
      </c>
      <c r="U132" s="79" t="s">
        <v>243</v>
      </c>
      <c r="V132" s="79" t="s">
        <v>243</v>
      </c>
      <c r="W132" s="79" t="s">
        <v>243</v>
      </c>
      <c r="X132" s="79" t="s">
        <v>255</v>
      </c>
      <c r="Y132" s="79" t="s">
        <v>255</v>
      </c>
      <c r="Z132" s="79" t="s">
        <v>255</v>
      </c>
      <c r="AA132" s="79" t="s">
        <v>254</v>
      </c>
      <c r="AB132" s="79" t="s">
        <v>254</v>
      </c>
      <c r="AC132" s="79" t="s">
        <v>249</v>
      </c>
      <c r="AD132" s="79" t="s">
        <v>249</v>
      </c>
      <c r="AE132" s="79" t="s">
        <v>249</v>
      </c>
      <c r="AF132" s="79" t="s">
        <v>249</v>
      </c>
      <c r="AG132" s="79" t="s">
        <v>249</v>
      </c>
      <c r="AH132" s="79" t="s">
        <v>254</v>
      </c>
      <c r="AI132" s="79" t="s">
        <v>259</v>
      </c>
      <c r="AJ132" s="79" t="s">
        <v>259</v>
      </c>
      <c r="AK132" s="79" t="s">
        <v>259</v>
      </c>
      <c r="AL132" s="79" t="s">
        <v>259</v>
      </c>
      <c r="AM132" s="79" t="s">
        <v>250</v>
      </c>
      <c r="AN132" s="79" t="s">
        <v>250</v>
      </c>
      <c r="AO132" s="79" t="s">
        <v>250</v>
      </c>
      <c r="AP132" s="79" t="s">
        <v>250</v>
      </c>
      <c r="AQ132" s="79" t="s">
        <v>262</v>
      </c>
      <c r="AR132" s="79" t="s">
        <v>262</v>
      </c>
      <c r="AS132" s="79" t="s">
        <v>262</v>
      </c>
      <c r="AT132" s="79" t="s">
        <v>262</v>
      </c>
      <c r="AU132" s="79" t="s">
        <v>262</v>
      </c>
      <c r="AV132" s="79" t="s">
        <v>262</v>
      </c>
      <c r="AW132" s="79" t="s">
        <v>253</v>
      </c>
      <c r="AX132" s="79" t="s">
        <v>253</v>
      </c>
      <c r="AY132" s="79" t="s">
        <v>253</v>
      </c>
      <c r="AZ132" s="79" t="s">
        <v>253</v>
      </c>
      <c r="BA132" s="79" t="s">
        <v>267</v>
      </c>
      <c r="BB132" s="79" t="s">
        <v>267</v>
      </c>
      <c r="BC132" s="79" t="s">
        <v>267</v>
      </c>
      <c r="BD132" s="79" t="s">
        <v>267</v>
      </c>
      <c r="BE132" s="79" t="s">
        <v>267</v>
      </c>
      <c r="BF132" s="79" t="s">
        <v>267</v>
      </c>
      <c r="BG132" s="79" t="s">
        <v>267</v>
      </c>
      <c r="BH132" s="79" t="s">
        <v>256</v>
      </c>
      <c r="BI132" s="79" t="s">
        <v>256</v>
      </c>
      <c r="BJ132" s="79" t="s">
        <v>256</v>
      </c>
      <c r="BK132" s="79" t="s">
        <v>256</v>
      </c>
      <c r="BL132" s="79" t="s">
        <v>256</v>
      </c>
      <c r="BM132" s="79" t="s">
        <v>256</v>
      </c>
      <c r="BN132" s="79" t="s">
        <v>256</v>
      </c>
      <c r="BO132" s="79" t="s">
        <v>256</v>
      </c>
      <c r="BP132" s="79" t="s">
        <v>256</v>
      </c>
      <c r="BQ132" s="79" t="s">
        <v>256</v>
      </c>
      <c r="BR132" s="79" t="s">
        <v>256</v>
      </c>
      <c r="BS132" s="79"/>
      <c r="BT132" s="79"/>
    </row>
    <row r="133" spans="2:72" x14ac:dyDescent="0.3">
      <c r="B133" s="79">
        <f t="shared" si="4"/>
        <v>300</v>
      </c>
      <c r="C133" s="79"/>
      <c r="D133" s="79"/>
      <c r="E133" s="79"/>
      <c r="F133" s="79"/>
      <c r="G133" s="79" t="s">
        <v>245</v>
      </c>
      <c r="H133" s="79" t="s">
        <v>245</v>
      </c>
      <c r="I133" s="79" t="s">
        <v>244</v>
      </c>
      <c r="J133" s="79" t="s">
        <v>244</v>
      </c>
      <c r="K133" s="79" t="s">
        <v>244</v>
      </c>
      <c r="L133" s="79" t="s">
        <v>244</v>
      </c>
      <c r="M133" s="79" t="s">
        <v>244</v>
      </c>
      <c r="N133" s="79" t="s">
        <v>245</v>
      </c>
      <c r="O133" s="79" t="s">
        <v>245</v>
      </c>
      <c r="P133" s="79" t="s">
        <v>245</v>
      </c>
      <c r="Q133" s="79" t="s">
        <v>245</v>
      </c>
      <c r="R133" s="79" t="s">
        <v>245</v>
      </c>
      <c r="S133" s="79" t="s">
        <v>243</v>
      </c>
      <c r="T133" s="79" t="s">
        <v>243</v>
      </c>
      <c r="U133" s="79" t="s">
        <v>243</v>
      </c>
      <c r="V133" s="79" t="s">
        <v>243</v>
      </c>
      <c r="W133" s="79" t="s">
        <v>243</v>
      </c>
      <c r="X133" s="79" t="s">
        <v>255</v>
      </c>
      <c r="Y133" s="79" t="s">
        <v>255</v>
      </c>
      <c r="Z133" s="79" t="s">
        <v>255</v>
      </c>
      <c r="AA133" s="79" t="s">
        <v>254</v>
      </c>
      <c r="AB133" s="79" t="s">
        <v>254</v>
      </c>
      <c r="AC133" s="79" t="s">
        <v>254</v>
      </c>
      <c r="AD133" s="79" t="s">
        <v>249</v>
      </c>
      <c r="AE133" s="79" t="s">
        <v>249</v>
      </c>
      <c r="AF133" s="79" t="s">
        <v>249</v>
      </c>
      <c r="AG133" s="79" t="s">
        <v>254</v>
      </c>
      <c r="AH133" s="79" t="s">
        <v>254</v>
      </c>
      <c r="AI133" s="79" t="s">
        <v>254</v>
      </c>
      <c r="AJ133" s="79" t="s">
        <v>259</v>
      </c>
      <c r="AK133" s="79" t="s">
        <v>259</v>
      </c>
      <c r="AL133" s="79" t="s">
        <v>259</v>
      </c>
      <c r="AM133" s="79" t="s">
        <v>259</v>
      </c>
      <c r="AN133" s="79" t="s">
        <v>250</v>
      </c>
      <c r="AO133" s="79" t="s">
        <v>250</v>
      </c>
      <c r="AP133" s="79" t="s">
        <v>250</v>
      </c>
      <c r="AQ133" s="79" t="s">
        <v>259</v>
      </c>
      <c r="AR133" s="79" t="s">
        <v>262</v>
      </c>
      <c r="AS133" s="79" t="s">
        <v>262</v>
      </c>
      <c r="AT133" s="79" t="s">
        <v>262</v>
      </c>
      <c r="AU133" s="79" t="s">
        <v>262</v>
      </c>
      <c r="AV133" s="79" t="s">
        <v>262</v>
      </c>
      <c r="AW133" s="79" t="s">
        <v>262</v>
      </c>
      <c r="AX133" s="79" t="s">
        <v>253</v>
      </c>
      <c r="AY133" s="79" t="s">
        <v>253</v>
      </c>
      <c r="AZ133" s="79" t="s">
        <v>253</v>
      </c>
      <c r="BA133" s="79" t="s">
        <v>267</v>
      </c>
      <c r="BB133" s="79" t="s">
        <v>267</v>
      </c>
      <c r="BC133" s="79" t="s">
        <v>267</v>
      </c>
      <c r="BD133" s="79" t="s">
        <v>267</v>
      </c>
      <c r="BE133" s="79" t="s">
        <v>267</v>
      </c>
      <c r="BF133" s="79" t="s">
        <v>267</v>
      </c>
      <c r="BG133" s="79" t="s">
        <v>267</v>
      </c>
      <c r="BH133" s="79" t="s">
        <v>267</v>
      </c>
      <c r="BI133" s="79" t="s">
        <v>256</v>
      </c>
      <c r="BJ133" s="79" t="s">
        <v>256</v>
      </c>
      <c r="BK133" s="79" t="s">
        <v>256</v>
      </c>
      <c r="BL133" s="79" t="s">
        <v>256</v>
      </c>
      <c r="BM133" s="79" t="s">
        <v>256</v>
      </c>
      <c r="BN133" s="79" t="s">
        <v>256</v>
      </c>
      <c r="BO133" s="79" t="s">
        <v>256</v>
      </c>
      <c r="BP133" s="79" t="s">
        <v>256</v>
      </c>
      <c r="BQ133" s="79" t="s">
        <v>256</v>
      </c>
      <c r="BR133" s="79" t="s">
        <v>256</v>
      </c>
      <c r="BS133" s="79" t="s">
        <v>256</v>
      </c>
      <c r="BT133" s="79"/>
    </row>
  </sheetData>
  <conditionalFormatting sqref="C3:BT133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36</vt:i4>
      </vt:variant>
    </vt:vector>
  </HeadingPairs>
  <TitlesOfParts>
    <vt:vector size="41" baseType="lpstr">
      <vt:lpstr>Spring_Home</vt:lpstr>
      <vt:lpstr>X_Spring</vt:lpstr>
      <vt:lpstr>SpringCalculation</vt:lpstr>
      <vt:lpstr>Date</vt:lpstr>
      <vt:lpstr>Matrix</vt:lpstr>
      <vt:lpstr>CORRECTION_FACTOR</vt:lpstr>
      <vt:lpstr>DH</vt:lpstr>
      <vt:lpstr>Dim_shaft</vt:lpstr>
      <vt:lpstr>DW</vt:lpstr>
      <vt:lpstr>KabelX</vt:lpstr>
      <vt:lpstr>KG</vt:lpstr>
      <vt:lpstr>KG_MAX</vt:lpstr>
      <vt:lpstr>KG_MAX_FACTOR</vt:lpstr>
      <vt:lpstr>Lifetime</vt:lpstr>
      <vt:lpstr>RESULT_ID</vt:lpstr>
      <vt:lpstr>SpringCalculation!SC_DH</vt:lpstr>
      <vt:lpstr>SpringCalculation!SC_DW</vt:lpstr>
      <vt:lpstr>SC_HMA</vt:lpstr>
      <vt:lpstr>SC_HMT</vt:lpstr>
      <vt:lpstr>SC_LMT</vt:lpstr>
      <vt:lpstr>SpringCalculation!SC_LT</vt:lpstr>
      <vt:lpstr>SC_LT_TABLE</vt:lpstr>
      <vt:lpstr>SpringCalculation!SC_NOCUTDW</vt:lpstr>
      <vt:lpstr>SC_RDT</vt:lpstr>
      <vt:lpstr>SpringCalculation!SC_RESULT_BUILD</vt:lpstr>
      <vt:lpstr>SpringCalculation!SC_RESULT_ELT</vt:lpstr>
      <vt:lpstr>SC_RESULT_ITEM</vt:lpstr>
      <vt:lpstr>SpringCalculation!SC_RESULT_MASS</vt:lpstr>
      <vt:lpstr>SC_RESULT_MAX</vt:lpstr>
      <vt:lpstr>SpringCalculation!SC_RESULT_MINDW</vt:lpstr>
      <vt:lpstr>SpringCalculation!SC_RESULT_QTY</vt:lpstr>
      <vt:lpstr>SpringCalculation!SC_RESULT_RST</vt:lpstr>
      <vt:lpstr>SC_SBD</vt:lpstr>
      <vt:lpstr>SC_TABLE</vt:lpstr>
      <vt:lpstr>SC_TOL_MIN</vt:lpstr>
      <vt:lpstr>SC_TOL_PLUS</vt:lpstr>
      <vt:lpstr>SpringCalculation!SC_W</vt:lpstr>
      <vt:lpstr>Sp_qty</vt:lpstr>
      <vt:lpstr>VEERWEG</vt:lpstr>
      <vt:lpstr>VeerX</vt:lpstr>
      <vt:lpstr>VOETJE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Ivo Lemlijn</dc:creator>
  <cp:lastModifiedBy>Ivo Lemlijn</cp:lastModifiedBy>
  <dcterms:created xsi:type="dcterms:W3CDTF">2021-02-26T10:17:46Z</dcterms:created>
  <dcterms:modified xsi:type="dcterms:W3CDTF">2023-02-10T11:27:22Z</dcterms:modified>
</cp:coreProperties>
</file>